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1. Assignments\6. Ashiwini Mittal Sir- Nabcons\11. Grain sorting grading &amp; warehouse\"/>
    </mc:Choice>
  </mc:AlternateContent>
  <xr:revisionPtr revIDLastSave="0" documentId="13_ncr:1_{4A7B0E12-EB04-4F97-8766-FE3EA427BDB5}" xr6:coauthVersionLast="47" xr6:coauthVersionMax="47" xr10:uidLastSave="{00000000-0000-0000-0000-000000000000}"/>
  <bookViews>
    <workbookView xWindow="-110" yWindow="-110" windowWidth="19420" windowHeight="11020" firstSheet="5" activeTab="7"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Budgets" sheetId="19" r:id="rId14"/>
    <sheet name="Cash flows" sheetId="18" r:id="rId15"/>
    <sheet name="For word file" sheetId="20"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32" i="14" l="1"/>
  <c r="I31" i="4"/>
  <c r="J31" i="4"/>
  <c r="K31" i="4"/>
  <c r="H30" i="4"/>
  <c r="D5" i="14"/>
  <c r="B5" i="18"/>
  <c r="C6" i="2"/>
  <c r="C4" i="2"/>
  <c r="B12" i="19"/>
  <c r="B13" i="19" l="1"/>
  <c r="C7" i="2"/>
  <c r="B4" i="18" s="1"/>
  <c r="B12" i="18" l="1"/>
  <c r="D5" i="22"/>
  <c r="E4" i="22"/>
  <c r="E5" i="22" s="1"/>
  <c r="F4" i="22" l="1"/>
  <c r="D21" i="11"/>
  <c r="C40" i="4"/>
  <c r="C24" i="11" s="1"/>
  <c r="B18" i="19"/>
  <c r="B17" i="19"/>
  <c r="C6" i="19"/>
  <c r="C8" i="19" s="1"/>
  <c r="F6" i="19"/>
  <c r="F8" i="19" s="1"/>
  <c r="I6" i="19"/>
  <c r="I8" i="19" s="1"/>
  <c r="J6" i="19"/>
  <c r="J8" i="19" s="1"/>
  <c r="B6" i="19"/>
  <c r="B8" i="19" s="1"/>
  <c r="D6" i="19"/>
  <c r="D8" i="19" s="1"/>
  <c r="D5" i="19"/>
  <c r="D7" i="19" s="1"/>
  <c r="C28" i="4"/>
  <c r="E8" i="9"/>
  <c r="G17" i="3"/>
  <c r="C8" i="4" s="1"/>
  <c r="C21" i="11"/>
  <c r="D24" i="4"/>
  <c r="E24" i="4"/>
  <c r="F24" i="4"/>
  <c r="G24" i="4"/>
  <c r="H24" i="4"/>
  <c r="I24" i="4"/>
  <c r="J24" i="4"/>
  <c r="K24" i="4"/>
  <c r="C24" i="4"/>
  <c r="D8" i="11" s="1"/>
  <c r="B13" i="23"/>
  <c r="B15" i="23" s="1"/>
  <c r="B17" i="23" s="1"/>
  <c r="B9" i="23"/>
  <c r="D25" i="11" l="1"/>
  <c r="C25" i="11"/>
  <c r="D24" i="11"/>
  <c r="C7" i="4"/>
  <c r="F5" i="22"/>
  <c r="G4" i="22"/>
  <c r="D23" i="11"/>
  <c r="D31" i="11"/>
  <c r="C23" i="11"/>
  <c r="C31" i="11"/>
  <c r="E19" i="4"/>
  <c r="C5" i="19"/>
  <c r="C7" i="19" s="1"/>
  <c r="D19" i="4" s="1"/>
  <c r="J5" i="19"/>
  <c r="J7" i="19" s="1"/>
  <c r="K19" i="4" s="1"/>
  <c r="I5" i="19"/>
  <c r="I7" i="19" s="1"/>
  <c r="J19" i="4" s="1"/>
  <c r="H6" i="19"/>
  <c r="H8" i="19" s="1"/>
  <c r="H5" i="19"/>
  <c r="H7" i="19" s="1"/>
  <c r="G6" i="19"/>
  <c r="G8" i="19" s="1"/>
  <c r="G5" i="19"/>
  <c r="G7" i="19" s="1"/>
  <c r="E6" i="19"/>
  <c r="E8" i="19" s="1"/>
  <c r="E5" i="19"/>
  <c r="E7" i="19" s="1"/>
  <c r="F5" i="19"/>
  <c r="F7" i="19" s="1"/>
  <c r="G19" i="4" s="1"/>
  <c r="B5" i="19"/>
  <c r="B7" i="19" s="1"/>
  <c r="C19" i="4" s="1"/>
  <c r="D8" i="4"/>
  <c r="E8" i="4" s="1"/>
  <c r="F8" i="4" s="1"/>
  <c r="G8" i="4" s="1"/>
  <c r="H8" i="4" s="1"/>
  <c r="I8" i="4" s="1"/>
  <c r="J8" i="4" s="1"/>
  <c r="K8" i="4" s="1"/>
  <c r="A6" i="21"/>
  <c r="C26" i="11" l="1"/>
  <c r="C27" i="11" s="1"/>
  <c r="C29" i="11" s="1"/>
  <c r="E31" i="11"/>
  <c r="J10" i="4"/>
  <c r="J12" i="7"/>
  <c r="C10" i="4"/>
  <c r="C12" i="7"/>
  <c r="G10" i="4"/>
  <c r="G12" i="7"/>
  <c r="D10" i="4"/>
  <c r="D12" i="7"/>
  <c r="E10" i="4"/>
  <c r="E12" i="7"/>
  <c r="K10" i="4"/>
  <c r="K12" i="7"/>
  <c r="I19" i="4"/>
  <c r="H19" i="4"/>
  <c r="D26" i="11"/>
  <c r="D27" i="11" s="1"/>
  <c r="D29" i="11" s="1"/>
  <c r="F19" i="4"/>
  <c r="G5" i="22"/>
  <c r="H4" i="22"/>
  <c r="A13" i="21"/>
  <c r="A11" i="21"/>
  <c r="A10" i="21"/>
  <c r="A9" i="21"/>
  <c r="K46" i="7"/>
  <c r="J46" i="7"/>
  <c r="D22" i="7"/>
  <c r="E22" i="7"/>
  <c r="F22" i="7"/>
  <c r="G22" i="7"/>
  <c r="H22" i="7"/>
  <c r="I22" i="7"/>
  <c r="I33" i="7" s="1"/>
  <c r="J22" i="7"/>
  <c r="J33" i="7" s="1"/>
  <c r="K22" i="7"/>
  <c r="K33" i="7" s="1"/>
  <c r="C22" i="7"/>
  <c r="E9" i="9"/>
  <c r="A15" i="21"/>
  <c r="E29" i="11" l="1"/>
  <c r="F10" i="4"/>
  <c r="F12" i="7"/>
  <c r="H10" i="4"/>
  <c r="H12" i="7"/>
  <c r="I10" i="4"/>
  <c r="I12" i="7"/>
  <c r="H5" i="22"/>
  <c r="I4" i="22"/>
  <c r="A16" i="21"/>
  <c r="A14" i="21"/>
  <c r="A12" i="21"/>
  <c r="A8" i="21"/>
  <c r="A7" i="21"/>
  <c r="A5" i="21"/>
  <c r="A4" i="21"/>
  <c r="C23" i="18"/>
  <c r="K23" i="18"/>
  <c r="J23" i="18"/>
  <c r="I23" i="18"/>
  <c r="H23" i="18"/>
  <c r="G23" i="18"/>
  <c r="F23" i="18"/>
  <c r="E23" i="18"/>
  <c r="D23" i="18"/>
  <c r="I5" i="22" l="1"/>
  <c r="J4" i="22"/>
  <c r="I40" i="7"/>
  <c r="J40" i="7"/>
  <c r="K40" i="7"/>
  <c r="J5" i="22" l="1"/>
  <c r="K4" i="22"/>
  <c r="C19" i="1"/>
  <c r="D39" i="4"/>
  <c r="D40" i="4" s="1"/>
  <c r="D7" i="4" s="1"/>
  <c r="K5" i="22" l="1"/>
  <c r="L4" i="22"/>
  <c r="L5" i="22" s="1"/>
  <c r="E39" i="4"/>
  <c r="E40" i="4" s="1"/>
  <c r="E7" i="4" s="1"/>
  <c r="F39" i="4" l="1"/>
  <c r="F40" i="4" s="1"/>
  <c r="F7" i="4" s="1"/>
  <c r="G39" i="4" l="1"/>
  <c r="G40" i="4" s="1"/>
  <c r="G7" i="4" s="1"/>
  <c r="C8" i="18" l="1"/>
  <c r="E5" i="11"/>
  <c r="D7" i="11" s="1"/>
  <c r="J3" i="20"/>
  <c r="B3" i="20"/>
  <c r="H39" i="4"/>
  <c r="H40" i="4" s="1"/>
  <c r="H7" i="4" s="1"/>
  <c r="E8" i="18" l="1"/>
  <c r="D8" i="18"/>
  <c r="G3" i="20"/>
  <c r="C3" i="20"/>
  <c r="D3" i="20"/>
  <c r="I3" i="20"/>
  <c r="H3" i="20"/>
  <c r="E3" i="20"/>
  <c r="F3" i="20"/>
  <c r="I39" i="4"/>
  <c r="I40" i="4" s="1"/>
  <c r="I7" i="4" s="1"/>
  <c r="J39" i="4" l="1"/>
  <c r="K39" i="4" l="1"/>
  <c r="K40" i="4" s="1"/>
  <c r="J40" i="4"/>
  <c r="J7" i="4" s="1"/>
  <c r="C12" i="1"/>
  <c r="C6" i="10" s="1"/>
  <c r="C35" i="1"/>
  <c r="J25" i="4"/>
  <c r="K25" i="4"/>
  <c r="K13" i="18" s="1"/>
  <c r="K7" i="4" l="1"/>
  <c r="D9" i="11"/>
  <c r="J13" i="18"/>
  <c r="J45" i="7"/>
  <c r="K45" i="7"/>
  <c r="E6" i="9"/>
  <c r="E18" i="9"/>
  <c r="E9" i="11" l="1"/>
  <c r="E10" i="11" s="1"/>
  <c r="D11" i="4" l="1"/>
  <c r="D12" i="4" s="1"/>
  <c r="E12" i="10"/>
  <c r="J47" i="7"/>
  <c r="K47" i="7"/>
  <c r="C12" i="10"/>
  <c r="C20" i="1"/>
  <c r="C16" i="1"/>
  <c r="G4" i="3" s="1"/>
  <c r="G5" i="3" s="1"/>
  <c r="G19" i="3" s="1"/>
  <c r="F8" i="10"/>
  <c r="F7" i="10"/>
  <c r="E10" i="9"/>
  <c r="E7" i="9"/>
  <c r="C9" i="1"/>
  <c r="C39" i="1" l="1"/>
  <c r="C8" i="2" s="1"/>
  <c r="D6" i="10"/>
  <c r="D12" i="10" s="1"/>
  <c r="D13" i="10" s="1"/>
  <c r="D14" i="10" s="1"/>
  <c r="D10" i="18"/>
  <c r="C7" i="15"/>
  <c r="E11" i="9"/>
  <c r="E13" i="9" s="1"/>
  <c r="E10" i="18"/>
  <c r="B10" i="13"/>
  <c r="C13" i="10"/>
  <c r="C3" i="15"/>
  <c r="E13" i="10"/>
  <c r="K6" i="12"/>
  <c r="E5" i="12"/>
  <c r="H6" i="12"/>
  <c r="E6" i="12"/>
  <c r="D6" i="12"/>
  <c r="F6" i="12"/>
  <c r="F5" i="12"/>
  <c r="G5" i="12"/>
  <c r="I6" i="12"/>
  <c r="F12" i="10" l="1"/>
  <c r="E13" i="11" s="1"/>
  <c r="C9" i="7"/>
  <c r="F6" i="10"/>
  <c r="F9" i="10" s="1"/>
  <c r="C10" i="7"/>
  <c r="C29" i="4"/>
  <c r="F13" i="10"/>
  <c r="E11" i="4"/>
  <c r="E12" i="4" s="1"/>
  <c r="E14" i="9"/>
  <c r="F3" i="15"/>
  <c r="F10" i="18"/>
  <c r="C14" i="10"/>
  <c r="F14" i="10" s="1"/>
  <c r="C10" i="13"/>
  <c r="D29" i="4"/>
  <c r="D10" i="7"/>
  <c r="E3" i="15"/>
  <c r="D3" i="15"/>
  <c r="E14" i="10"/>
  <c r="H5" i="12"/>
  <c r="J5" i="12"/>
  <c r="C6" i="12"/>
  <c r="J6" i="12"/>
  <c r="D5" i="12"/>
  <c r="I5" i="12"/>
  <c r="C5" i="12"/>
  <c r="G6" i="12"/>
  <c r="K5" i="12"/>
  <c r="D15" i="10"/>
  <c r="D16" i="10" s="1"/>
  <c r="D17" i="10" s="1"/>
  <c r="C11" i="7" l="1"/>
  <c r="D9" i="7" s="1"/>
  <c r="B7" i="18"/>
  <c r="B26" i="18" s="1"/>
  <c r="B27" i="18" s="1"/>
  <c r="D4" i="14"/>
  <c r="E16" i="9"/>
  <c r="E12" i="11" s="1"/>
  <c r="C14" i="4"/>
  <c r="C23" i="7" s="1"/>
  <c r="C17" i="7"/>
  <c r="C39" i="7"/>
  <c r="F11" i="4"/>
  <c r="F12" i="4" s="1"/>
  <c r="G10" i="18"/>
  <c r="D11" i="7"/>
  <c r="D39" i="7" s="1"/>
  <c r="E29" i="4"/>
  <c r="E10" i="7"/>
  <c r="D10" i="13"/>
  <c r="C15" i="10"/>
  <c r="E15" i="10"/>
  <c r="D18" i="10"/>
  <c r="D12" i="14" l="1"/>
  <c r="B6" i="18"/>
  <c r="D14" i="4"/>
  <c r="C16" i="4"/>
  <c r="C10" i="14"/>
  <c r="E10" i="14" s="1"/>
  <c r="C11" i="14"/>
  <c r="E11" i="14" s="1"/>
  <c r="C12" i="14"/>
  <c r="F15" i="10"/>
  <c r="G11" i="4"/>
  <c r="G12" i="4" s="1"/>
  <c r="F8" i="18"/>
  <c r="H10" i="18"/>
  <c r="G3" i="15"/>
  <c r="E9" i="7"/>
  <c r="E11" i="7" s="1"/>
  <c r="E39" i="7" s="1"/>
  <c r="F10" i="7"/>
  <c r="E10" i="13"/>
  <c r="F29" i="4"/>
  <c r="C16" i="10"/>
  <c r="C17" i="10" s="1"/>
  <c r="E16" i="10"/>
  <c r="D19" i="10"/>
  <c r="D20" i="10" s="1"/>
  <c r="B14" i="18" l="1"/>
  <c r="B20" i="18" s="1"/>
  <c r="C4" i="18" s="1"/>
  <c r="C24" i="18" s="1"/>
  <c r="C25" i="18" s="1"/>
  <c r="B24" i="18"/>
  <c r="B25" i="18" s="1"/>
  <c r="B30" i="18" s="1"/>
  <c r="D13" i="14"/>
  <c r="D14" i="14" s="1"/>
  <c r="C46" i="7"/>
  <c r="C19" i="18"/>
  <c r="D16" i="4"/>
  <c r="D23" i="7"/>
  <c r="E12" i="14"/>
  <c r="C13" i="14"/>
  <c r="E14" i="4"/>
  <c r="D9" i="18"/>
  <c r="C28" i="7"/>
  <c r="F16" i="10"/>
  <c r="H11" i="4"/>
  <c r="H12" i="4" s="1"/>
  <c r="G8" i="18"/>
  <c r="I10" i="18"/>
  <c r="H3" i="15"/>
  <c r="F9" i="7"/>
  <c r="F11" i="7" s="1"/>
  <c r="F39" i="7" s="1"/>
  <c r="G10" i="7"/>
  <c r="F10" i="13"/>
  <c r="G29" i="4"/>
  <c r="C18" i="10"/>
  <c r="E17" i="10"/>
  <c r="H29" i="4" s="1"/>
  <c r="B29" i="18" l="1"/>
  <c r="D15" i="14"/>
  <c r="D16" i="14" s="1"/>
  <c r="D17" i="14" s="1"/>
  <c r="D18" i="14" s="1"/>
  <c r="D46" i="7"/>
  <c r="D19" i="18"/>
  <c r="E16" i="4"/>
  <c r="E18" i="4" s="1"/>
  <c r="E23" i="7"/>
  <c r="E11" i="18" s="1"/>
  <c r="E13" i="14"/>
  <c r="E17" i="11" s="1"/>
  <c r="E18" i="11" s="1"/>
  <c r="E30" i="11" s="1"/>
  <c r="E32" i="11" s="1"/>
  <c r="C14" i="14"/>
  <c r="D11" i="18"/>
  <c r="E9" i="18"/>
  <c r="D28" i="7"/>
  <c r="F14" i="4"/>
  <c r="D18" i="4"/>
  <c r="D20" i="4" s="1"/>
  <c r="D48" i="7" s="1"/>
  <c r="F17" i="10"/>
  <c r="I11" i="4"/>
  <c r="I12" i="4" s="1"/>
  <c r="H8" i="18"/>
  <c r="J10" i="18"/>
  <c r="I3" i="15"/>
  <c r="G9" i="7"/>
  <c r="G11" i="7" s="1"/>
  <c r="H10" i="7"/>
  <c r="G10" i="13"/>
  <c r="C19" i="10"/>
  <c r="E18" i="10"/>
  <c r="E19" i="10" s="1"/>
  <c r="D19" i="14" l="1"/>
  <c r="F16" i="4"/>
  <c r="F18" i="4" s="1"/>
  <c r="F23" i="7"/>
  <c r="C34" i="11"/>
  <c r="C37" i="11" s="1"/>
  <c r="C40" i="11" s="1"/>
  <c r="C33" i="11"/>
  <c r="C36" i="11" s="1"/>
  <c r="C39" i="11" s="1"/>
  <c r="C23" i="4"/>
  <c r="C25" i="4" s="1"/>
  <c r="C13" i="18" s="1"/>
  <c r="E14" i="14"/>
  <c r="C21" i="7"/>
  <c r="C15" i="14"/>
  <c r="F9" i="18"/>
  <c r="E28" i="7"/>
  <c r="G14" i="4"/>
  <c r="C4" i="20"/>
  <c r="C5" i="20" s="1"/>
  <c r="C6" i="20" s="1"/>
  <c r="F18" i="10"/>
  <c r="E20" i="4"/>
  <c r="E48" i="7" s="1"/>
  <c r="D4" i="20"/>
  <c r="C20" i="10"/>
  <c r="F19" i="10"/>
  <c r="J11" i="4"/>
  <c r="J12" i="4" s="1"/>
  <c r="K11" i="4"/>
  <c r="K12" i="4" s="1"/>
  <c r="I8" i="18"/>
  <c r="K10" i="18"/>
  <c r="G39" i="7"/>
  <c r="H9" i="7"/>
  <c r="H11" i="7" s="1"/>
  <c r="I10" i="7"/>
  <c r="I29" i="4"/>
  <c r="H10" i="13"/>
  <c r="I10" i="13"/>
  <c r="J10" i="7"/>
  <c r="J29" i="4"/>
  <c r="E20" i="10"/>
  <c r="D20" i="14" l="1"/>
  <c r="G16" i="4"/>
  <c r="G23" i="7"/>
  <c r="F11" i="18"/>
  <c r="C45" i="7"/>
  <c r="C47" i="7" s="1"/>
  <c r="C40" i="7"/>
  <c r="C41" i="7" s="1"/>
  <c r="C33" i="7"/>
  <c r="E15" i="14"/>
  <c r="C16" i="14"/>
  <c r="G9" i="18"/>
  <c r="F28" i="7"/>
  <c r="H14" i="4"/>
  <c r="F20" i="10"/>
  <c r="F20" i="4"/>
  <c r="F48" i="7" s="1"/>
  <c r="E4" i="20"/>
  <c r="E5" i="20" s="1"/>
  <c r="E6" i="20" s="1"/>
  <c r="D5" i="20"/>
  <c r="D6" i="20" s="1"/>
  <c r="K29" i="4"/>
  <c r="J10" i="13"/>
  <c r="G18" i="4"/>
  <c r="F4" i="20" s="1"/>
  <c r="F5" i="20" s="1"/>
  <c r="F6" i="20" s="1"/>
  <c r="J8" i="18"/>
  <c r="K8" i="18"/>
  <c r="H39" i="7"/>
  <c r="I9" i="7"/>
  <c r="I11" i="7" s="1"/>
  <c r="J9" i="7" s="1"/>
  <c r="J11" i="7" s="1"/>
  <c r="K10" i="7"/>
  <c r="D21" i="14" l="1"/>
  <c r="E19" i="18" s="1"/>
  <c r="E46" i="7"/>
  <c r="G11" i="18"/>
  <c r="H16" i="4"/>
  <c r="H18" i="4" s="1"/>
  <c r="G4" i="20" s="1"/>
  <c r="G5" i="20" s="1"/>
  <c r="G6" i="20" s="1"/>
  <c r="H23" i="7"/>
  <c r="E16" i="14"/>
  <c r="C17" i="14"/>
  <c r="H9" i="18"/>
  <c r="G28" i="7"/>
  <c r="I14" i="4"/>
  <c r="I39" i="7"/>
  <c r="J39" i="7"/>
  <c r="K9" i="7"/>
  <c r="K11" i="7" s="1"/>
  <c r="K39" i="7" s="1"/>
  <c r="G20" i="4"/>
  <c r="G48" i="7" s="1"/>
  <c r="D22" i="14" l="1"/>
  <c r="H11" i="18"/>
  <c r="I16" i="4"/>
  <c r="I11" i="18" s="1"/>
  <c r="I23" i="7"/>
  <c r="E17" i="14"/>
  <c r="D23" i="4" s="1"/>
  <c r="D25" i="4" s="1"/>
  <c r="C18" i="14"/>
  <c r="I9" i="18"/>
  <c r="H28" i="7"/>
  <c r="J14" i="4"/>
  <c r="D23" i="14" l="1"/>
  <c r="D24" i="14" s="1"/>
  <c r="D25" i="14" s="1"/>
  <c r="D26" i="14" s="1"/>
  <c r="F19" i="18"/>
  <c r="I18" i="4"/>
  <c r="H4" i="20" s="1"/>
  <c r="H5" i="20" s="1"/>
  <c r="H6" i="20" s="1"/>
  <c r="J16" i="4"/>
  <c r="J18" i="4" s="1"/>
  <c r="I4" i="20" s="1"/>
  <c r="I5" i="20" s="1"/>
  <c r="I6" i="20" s="1"/>
  <c r="J23" i="7"/>
  <c r="E18" i="14"/>
  <c r="D21" i="7"/>
  <c r="C19" i="14"/>
  <c r="D13" i="18"/>
  <c r="D45" i="7"/>
  <c r="D47" i="7" s="1"/>
  <c r="D49" i="7" s="1"/>
  <c r="D27" i="4"/>
  <c r="J9" i="18"/>
  <c r="I28" i="7"/>
  <c r="K14" i="4"/>
  <c r="H20" i="4"/>
  <c r="H48" i="7" s="1"/>
  <c r="F46" i="7" l="1"/>
  <c r="D27" i="14"/>
  <c r="D28" i="14" s="1"/>
  <c r="D29" i="14" s="1"/>
  <c r="D30" i="14" s="1"/>
  <c r="J11" i="18"/>
  <c r="K16" i="4"/>
  <c r="K23" i="7"/>
  <c r="K28" i="7" s="1"/>
  <c r="D31" i="4"/>
  <c r="C7" i="13"/>
  <c r="C9" i="13" s="1"/>
  <c r="C11" i="13" s="1"/>
  <c r="C13" i="13" s="1"/>
  <c r="C14" i="13" s="1"/>
  <c r="D32" i="4" s="1"/>
  <c r="D15" i="18" s="1"/>
  <c r="E19" i="14"/>
  <c r="C20" i="14"/>
  <c r="D33" i="7"/>
  <c r="D40" i="7"/>
  <c r="D41" i="7" s="1"/>
  <c r="K9" i="18"/>
  <c r="J28" i="7"/>
  <c r="G19" i="18" l="1"/>
  <c r="G46" i="7"/>
  <c r="D31" i="14"/>
  <c r="H19" i="18"/>
  <c r="E20" i="14"/>
  <c r="C21" i="14"/>
  <c r="C7" i="20"/>
  <c r="D33" i="4"/>
  <c r="D34" i="4" s="1"/>
  <c r="K11" i="18"/>
  <c r="K18" i="4"/>
  <c r="J4" i="20" s="1"/>
  <c r="J5" i="20" s="1"/>
  <c r="J6" i="20" s="1"/>
  <c r="I20" i="4"/>
  <c r="I48" i="7" s="1"/>
  <c r="H46" i="7" l="1"/>
  <c r="D35" i="14"/>
  <c r="D36" i="14" s="1"/>
  <c r="I46" i="7" s="1"/>
  <c r="D17" i="18"/>
  <c r="D26" i="18" s="1"/>
  <c r="D27" i="18" s="1"/>
  <c r="C8" i="20"/>
  <c r="E21" i="14"/>
  <c r="E23" i="4" s="1"/>
  <c r="E25" i="4" s="1"/>
  <c r="C22" i="14"/>
  <c r="I19" i="18" l="1"/>
  <c r="D35" i="4"/>
  <c r="D18" i="7" s="1"/>
  <c r="E27" i="4"/>
  <c r="E45" i="7"/>
  <c r="E47" i="7" s="1"/>
  <c r="E49" i="7" s="1"/>
  <c r="E13" i="18"/>
  <c r="E22" i="14"/>
  <c r="C23" i="14"/>
  <c r="E21" i="7"/>
  <c r="E33" i="7" l="1"/>
  <c r="E40" i="7"/>
  <c r="E41" i="7" s="1"/>
  <c r="E23" i="14"/>
  <c r="C24" i="14"/>
  <c r="E31" i="4"/>
  <c r="D7" i="13"/>
  <c r="D9" i="13" s="1"/>
  <c r="D11" i="13" s="1"/>
  <c r="D13" i="13" s="1"/>
  <c r="D14" i="13" s="1"/>
  <c r="E32" i="4" s="1"/>
  <c r="E15" i="18" s="1"/>
  <c r="J20" i="4"/>
  <c r="J3" i="15"/>
  <c r="K3" i="15"/>
  <c r="D7" i="20" l="1"/>
  <c r="E33" i="4"/>
  <c r="E34" i="4" s="1"/>
  <c r="E24" i="14"/>
  <c r="C25" i="14"/>
  <c r="J27" i="4"/>
  <c r="J48" i="7"/>
  <c r="K20" i="4"/>
  <c r="E25" i="14" l="1"/>
  <c r="F23" i="4" s="1"/>
  <c r="F25" i="4" s="1"/>
  <c r="C26" i="14"/>
  <c r="E17" i="18"/>
  <c r="E26" i="18" s="1"/>
  <c r="E27" i="18" s="1"/>
  <c r="D8" i="20"/>
  <c r="I7" i="20"/>
  <c r="I7" i="13"/>
  <c r="I9" i="13" s="1"/>
  <c r="I11" i="13" s="1"/>
  <c r="I13" i="13" s="1"/>
  <c r="I14" i="13" s="1"/>
  <c r="J32" i="4" s="1"/>
  <c r="J15" i="18" s="1"/>
  <c r="K27" i="4"/>
  <c r="K48" i="7"/>
  <c r="E35" i="4" l="1"/>
  <c r="E18" i="7" s="1"/>
  <c r="F45" i="7"/>
  <c r="F47" i="7" s="1"/>
  <c r="F49" i="7" s="1"/>
  <c r="F27" i="4"/>
  <c r="F13" i="18"/>
  <c r="E26" i="14"/>
  <c r="F21" i="7"/>
  <c r="C27" i="14"/>
  <c r="J7" i="20"/>
  <c r="J33" i="4"/>
  <c r="J34" i="4" s="1"/>
  <c r="J7" i="13"/>
  <c r="J9" i="13" s="1"/>
  <c r="J11" i="13" s="1"/>
  <c r="J13" i="13" s="1"/>
  <c r="J14" i="13" s="1"/>
  <c r="K32" i="4" s="1"/>
  <c r="E27" i="14" l="1"/>
  <c r="C28" i="14"/>
  <c r="F33" i="7"/>
  <c r="F40" i="7"/>
  <c r="F41" i="7" s="1"/>
  <c r="F31" i="4"/>
  <c r="E7" i="13"/>
  <c r="E9" i="13" s="1"/>
  <c r="E11" i="13" s="1"/>
  <c r="E13" i="13" s="1"/>
  <c r="E14" i="13" s="1"/>
  <c r="F32" i="4" s="1"/>
  <c r="F15" i="18" s="1"/>
  <c r="J35" i="4"/>
  <c r="J18" i="7" s="1"/>
  <c r="I8" i="20"/>
  <c r="K33" i="4"/>
  <c r="K34" i="4" s="1"/>
  <c r="K15" i="18"/>
  <c r="C29" i="14" l="1"/>
  <c r="E28" i="14"/>
  <c r="E7" i="20"/>
  <c r="F33" i="4"/>
  <c r="F34" i="4" s="1"/>
  <c r="J17" i="18"/>
  <c r="J26" i="18" s="1"/>
  <c r="K35" i="4"/>
  <c r="K18" i="7" s="1"/>
  <c r="J8" i="20"/>
  <c r="F17" i="18" l="1"/>
  <c r="F26" i="18" s="1"/>
  <c r="F27" i="18" s="1"/>
  <c r="E8" i="20"/>
  <c r="C30" i="14"/>
  <c r="E29" i="14"/>
  <c r="G23" i="4" s="1"/>
  <c r="G25" i="4" s="1"/>
  <c r="G21" i="7"/>
  <c r="J27" i="18"/>
  <c r="K17" i="18"/>
  <c r="K26" i="18" s="1"/>
  <c r="F35" i="4" l="1"/>
  <c r="F18" i="7" s="1"/>
  <c r="G40" i="7"/>
  <c r="G41" i="7" s="1"/>
  <c r="G33" i="7"/>
  <c r="C31" i="14"/>
  <c r="E30" i="14"/>
  <c r="G13" i="18"/>
  <c r="G45" i="7"/>
  <c r="G47" i="7" s="1"/>
  <c r="G49" i="7" s="1"/>
  <c r="G27" i="4"/>
  <c r="K27" i="18"/>
  <c r="G31" i="4" l="1"/>
  <c r="F7" i="13"/>
  <c r="F9" i="13" s="1"/>
  <c r="F11" i="13" s="1"/>
  <c r="F13" i="13" s="1"/>
  <c r="F14" i="13" s="1"/>
  <c r="G32" i="4" s="1"/>
  <c r="G15" i="18" s="1"/>
  <c r="E31" i="14"/>
  <c r="C32" i="14"/>
  <c r="E32" i="14" l="1"/>
  <c r="F7" i="20"/>
  <c r="G33" i="4"/>
  <c r="G34" i="4" s="1"/>
  <c r="G17" i="18" l="1"/>
  <c r="G26" i="18" s="1"/>
  <c r="G27" i="18" s="1"/>
  <c r="F8" i="20"/>
  <c r="H23" i="4"/>
  <c r="H25" i="4" s="1"/>
  <c r="H21" i="7"/>
  <c r="G35" i="4" l="1"/>
  <c r="G18" i="7" s="1"/>
  <c r="H45" i="7"/>
  <c r="H47" i="7" s="1"/>
  <c r="H49" i="7" s="1"/>
  <c r="H27" i="4"/>
  <c r="H31" i="4" s="1"/>
  <c r="H13" i="18"/>
  <c r="H33" i="7"/>
  <c r="H40" i="7"/>
  <c r="F42" i="7" s="1"/>
  <c r="C35" i="14"/>
  <c r="C36" i="14" l="1"/>
  <c r="E35" i="14"/>
  <c r="G7" i="13"/>
  <c r="G9" i="13" s="1"/>
  <c r="G11" i="13" s="1"/>
  <c r="G13" i="13" s="1"/>
  <c r="G14" i="13" s="1"/>
  <c r="H32" i="4" s="1"/>
  <c r="H15" i="18" s="1"/>
  <c r="G7" i="20" l="1"/>
  <c r="H33" i="4"/>
  <c r="H34" i="4" s="1"/>
  <c r="C37" i="14"/>
  <c r="E37" i="14" s="1"/>
  <c r="E36" i="14"/>
  <c r="I23" i="4" l="1"/>
  <c r="I25" i="4" s="1"/>
  <c r="I45" i="7" s="1"/>
  <c r="I47" i="7" s="1"/>
  <c r="H17" i="18"/>
  <c r="H26" i="18" s="1"/>
  <c r="H27" i="18" s="1"/>
  <c r="G8" i="20"/>
  <c r="I13" i="18" l="1"/>
  <c r="I27" i="4"/>
  <c r="H35" i="4"/>
  <c r="H18" i="7" s="1"/>
  <c r="H7" i="13" l="1"/>
  <c r="H9" i="13" s="1"/>
  <c r="H11" i="13" s="1"/>
  <c r="H13" i="13" s="1"/>
  <c r="H14" i="13" s="1"/>
  <c r="I32" i="4" s="1"/>
  <c r="I15" i="18" s="1"/>
  <c r="H7" i="20"/>
  <c r="I33" i="4" l="1"/>
  <c r="I34" i="4" s="1"/>
  <c r="C11" i="4"/>
  <c r="H8" i="20" l="1"/>
  <c r="I17" i="18"/>
  <c r="I26" i="18" s="1"/>
  <c r="I27" i="18" s="1"/>
  <c r="I35" i="4"/>
  <c r="I18" i="7" s="1"/>
  <c r="C11" i="18"/>
  <c r="C14" i="18" s="1"/>
  <c r="C12" i="4"/>
  <c r="C18" i="4" s="1"/>
  <c r="C20" i="4" l="1"/>
  <c r="B4" i="20"/>
  <c r="B5" i="20" s="1"/>
  <c r="B6" i="20" s="1"/>
  <c r="C48" i="7" l="1"/>
  <c r="C49" i="7" s="1"/>
  <c r="F50" i="7" s="1"/>
  <c r="C27" i="4"/>
  <c r="C31" i="4" s="1"/>
  <c r="B7" i="13" l="1"/>
  <c r="B9" i="13" s="1"/>
  <c r="B11" i="13" s="1"/>
  <c r="B13" i="13" s="1"/>
  <c r="B14" i="13" s="1"/>
  <c r="C32" i="4" s="1"/>
  <c r="C15" i="18" s="1"/>
  <c r="C16" i="18" l="1"/>
  <c r="C33" i="4"/>
  <c r="C34" i="4" s="1"/>
  <c r="B7" i="20"/>
  <c r="B8" i="20" l="1"/>
  <c r="C17" i="18" l="1"/>
  <c r="C26" i="18" s="1"/>
  <c r="C35" i="4"/>
  <c r="C18" i="7" s="1"/>
  <c r="C20" i="7" s="1"/>
  <c r="C34" i="7" l="1"/>
  <c r="C35" i="7" s="1"/>
  <c r="C24" i="7"/>
  <c r="D17" i="7"/>
  <c r="D20" i="7" s="1"/>
  <c r="C18" i="18"/>
  <c r="C20" i="18" s="1"/>
  <c r="C13" i="7" s="1"/>
  <c r="D4" i="18" l="1"/>
  <c r="D14" i="18" s="1"/>
  <c r="C29" i="18"/>
  <c r="C30" i="18" s="1"/>
  <c r="C27" i="18"/>
  <c r="E17" i="7"/>
  <c r="E20" i="7" s="1"/>
  <c r="D24" i="7"/>
  <c r="D34" i="7"/>
  <c r="D35" i="7" s="1"/>
  <c r="E34" i="7" l="1"/>
  <c r="E35" i="7" s="1"/>
  <c r="F17" i="7"/>
  <c r="F20" i="7" s="1"/>
  <c r="E24" i="7"/>
  <c r="D24" i="18"/>
  <c r="D16" i="18"/>
  <c r="D18" i="18" s="1"/>
  <c r="D20" i="18" s="1"/>
  <c r="C14" i="7"/>
  <c r="C27" i="7"/>
  <c r="C29" i="7" s="1"/>
  <c r="E4" i="18" l="1"/>
  <c r="E14" i="18" s="1"/>
  <c r="D13" i="7"/>
  <c r="D29" i="18"/>
  <c r="D30" i="18" s="1"/>
  <c r="D25" i="18"/>
  <c r="F34" i="7"/>
  <c r="F35" i="7" s="1"/>
  <c r="F24" i="7"/>
  <c r="G17" i="7"/>
  <c r="G20" i="7" s="1"/>
  <c r="G34" i="7" l="1"/>
  <c r="G35" i="7" s="1"/>
  <c r="G24" i="7"/>
  <c r="H17" i="7"/>
  <c r="H20" i="7" s="1"/>
  <c r="D27" i="7"/>
  <c r="D29" i="7" s="1"/>
  <c r="D14" i="7"/>
  <c r="E16" i="18"/>
  <c r="E18" i="18" s="1"/>
  <c r="E20" i="18" s="1"/>
  <c r="E24" i="18"/>
  <c r="E13" i="7" l="1"/>
  <c r="F4" i="18"/>
  <c r="F14" i="18" s="1"/>
  <c r="E25" i="18"/>
  <c r="E29" i="18"/>
  <c r="E30" i="18" s="1"/>
  <c r="I17" i="7"/>
  <c r="I20" i="7" s="1"/>
  <c r="H24" i="7"/>
  <c r="H34" i="7"/>
  <c r="H35" i="7" s="1"/>
  <c r="J17" i="7" l="1"/>
  <c r="J20" i="7" s="1"/>
  <c r="I34" i="7"/>
  <c r="I35" i="7" s="1"/>
  <c r="I24" i="7"/>
  <c r="F24" i="18"/>
  <c r="F16" i="18"/>
  <c r="F18" i="18" s="1"/>
  <c r="F20" i="18" s="1"/>
  <c r="E27" i="7"/>
  <c r="E29" i="7" s="1"/>
  <c r="E14" i="7"/>
  <c r="F13" i="7" l="1"/>
  <c r="G4" i="18"/>
  <c r="G14" i="18" s="1"/>
  <c r="F29" i="18"/>
  <c r="F30" i="18" s="1"/>
  <c r="F25" i="18"/>
  <c r="J24" i="7"/>
  <c r="K17" i="7"/>
  <c r="K20" i="7" s="1"/>
  <c r="J34" i="7"/>
  <c r="J35" i="7" s="1"/>
  <c r="K34" i="7" l="1"/>
  <c r="K35" i="7" s="1"/>
  <c r="F36" i="7" s="1"/>
  <c r="K24" i="7"/>
  <c r="G16" i="18"/>
  <c r="G18" i="18" s="1"/>
  <c r="G20" i="18" s="1"/>
  <c r="G24" i="18"/>
  <c r="F14" i="7"/>
  <c r="F27" i="7"/>
  <c r="F29" i="7" s="1"/>
  <c r="G29" i="18" l="1"/>
  <c r="G30" i="18" s="1"/>
  <c r="G25" i="18"/>
  <c r="H4" i="18"/>
  <c r="H14" i="18" s="1"/>
  <c r="G13" i="7"/>
  <c r="G27" i="7" l="1"/>
  <c r="G29" i="7" s="1"/>
  <c r="G14" i="7"/>
  <c r="H24" i="18"/>
  <c r="H16" i="18"/>
  <c r="H18" i="18" s="1"/>
  <c r="H20" i="18" s="1"/>
  <c r="H25" i="18" l="1"/>
  <c r="H29" i="18"/>
  <c r="H30" i="18" s="1"/>
  <c r="I4" i="18"/>
  <c r="I14" i="18" s="1"/>
  <c r="H13" i="7"/>
  <c r="H14" i="7" l="1"/>
  <c r="H27" i="7"/>
  <c r="H29" i="7" s="1"/>
  <c r="I24" i="18"/>
  <c r="I16" i="18"/>
  <c r="I18" i="18" s="1"/>
  <c r="I20" i="18" s="1"/>
  <c r="J4" i="18" l="1"/>
  <c r="J14" i="18" s="1"/>
  <c r="I13" i="7"/>
  <c r="I25" i="18"/>
  <c r="I29" i="18"/>
  <c r="I30" i="18" s="1"/>
  <c r="I14" i="7" l="1"/>
  <c r="I27" i="7"/>
  <c r="I29" i="7" s="1"/>
  <c r="J24" i="18"/>
  <c r="J16" i="18"/>
  <c r="J18" i="18" s="1"/>
  <c r="J20" i="18" s="1"/>
  <c r="K4" i="18" l="1"/>
  <c r="K14" i="18" s="1"/>
  <c r="J13" i="7"/>
  <c r="J29" i="18"/>
  <c r="J30" i="18" s="1"/>
  <c r="J25" i="18"/>
  <c r="J14" i="7" l="1"/>
  <c r="J27" i="7"/>
  <c r="J29" i="7" s="1"/>
  <c r="K24" i="18"/>
  <c r="K16" i="18"/>
  <c r="K18" i="18" s="1"/>
  <c r="K20" i="18" s="1"/>
  <c r="K13" i="7" s="1"/>
  <c r="K27" i="7" l="1"/>
  <c r="K29" i="7" s="1"/>
  <c r="F30" i="7" s="1"/>
  <c r="K14" i="7"/>
  <c r="K29" i="18"/>
  <c r="K30" i="18" s="1"/>
  <c r="L30" i="18" s="1"/>
  <c r="K25" i="18"/>
</calcChain>
</file>

<file path=xl/sharedStrings.xml><?xml version="1.0" encoding="utf-8"?>
<sst xmlns="http://schemas.openxmlformats.org/spreadsheetml/2006/main" count="432" uniqueCount="321">
  <si>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</si>
  <si>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</si>
  <si>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</si>
  <si>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</si>
  <si>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</si>
  <si>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</si>
  <si>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</si>
  <si>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</si>
  <si>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</si>
  <si>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</si>
  <si>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</si>
  <si>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</si>
  <si>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</si>
  <si>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</si>
  <si>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</si>
  <si>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</si>
  <si>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</si>
  <si>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</si>
  <si>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</si>
  <si>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</si>
  <si>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</si>
  <si>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</si>
  <si>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</si>
  <si>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</si>
  <si>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</si>
  <si>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</si>
  <si>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</si>
  <si>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</si>
  <si>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</si>
  <si>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</si>
  <si>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</si>
  <si>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</si>
  <si>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</si>
  <si>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</si>
  <si>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</si>
  <si>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</si>
  <si>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</si>
  <si>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</si>
  <si>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</si>
  <si>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</si>
  <si>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</si>
  <si>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</si>
  <si>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</si>
  <si>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</si>
  <si>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</si>
  <si>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</si>
  <si>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</si>
  <si>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</si>
  <si>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</si>
  <si>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</si>
  <si>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</si>
  <si>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</si>
  <si>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</si>
  <si>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</si>
  <si>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</si>
  <si>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</si>
  <si>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</si>
  <si>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</si>
  <si>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</si>
  <si>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</si>
  <si>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</si>
  <si>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</si>
  <si>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</si>
  <si>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</si>
  <si>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</si>
  <si>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</si>
  <si>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</si>
  <si>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</si>
  <si>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</si>
  <si>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</si>
  <si>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</si>
  <si>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</si>
  <si>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</si>
  <si>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</si>
  <si>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</si>
  <si>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</si>
  <si>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</si>
  <si>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</si>
  <si>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</si>
  <si>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</si>
  <si>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</si>
  <si>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</si>
  <si>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</si>
  <si>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</si>
  <si>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</si>
  <si>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</si>
  <si>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</si>
  <si>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</si>
  <si>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</si>
  <si>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</si>
  <si>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</si>
  <si>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</si>
  <si>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</si>
  <si>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</si>
  <si>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</si>
  <si>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</si>
  <si>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</si>
  <si>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</si>
  <si>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</si>
  <si>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</si>
  <si>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</si>
  <si>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</si>
  <si>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</si>
  <si>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</si>
  <si>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</si>
  <si>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</si>
  <si>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</si>
  <si>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</si>
  <si>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</si>
  <si>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</si>
  <si>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</si>
  <si>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</si>
  <si>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</si>
  <si>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</si>
  <si>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</si>
  <si>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</si>
  <si>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</si>
  <si>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</si>
  <si>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</si>
  <si>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</si>
  <si>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</si>
  <si>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</si>
  <si>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</si>
  <si>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</si>
  <si>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</si>
  <si>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</si>
  <si>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</si>
  <si>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</si>
  <si>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</si>
  <si>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</si>
  <si>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</si>
  <si>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</si>
  <si>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</si>
  <si>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</si>
  <si>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</si>
  <si>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</si>
  <si>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</si>
  <si>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</si>
  <si>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</si>
  <si>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</si>
  <si>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</si>
  <si>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</si>
  <si>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</si>
  <si>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</si>
  <si>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</si>
  <si>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</si>
  <si>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</si>
  <si>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</si>
  <si>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</si>
  <si>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</si>
  <si>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</si>
  <si>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</si>
  <si>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</si>
  <si>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</si>
  <si>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</si>
  <si>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</si>
  <si>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Details of Manpower</t>
  </si>
  <si>
    <t>Security</t>
  </si>
  <si>
    <t>Creditors</t>
  </si>
  <si>
    <t>Total manpower</t>
  </si>
  <si>
    <t>opening balance</t>
  </si>
  <si>
    <t>Add: Sales realizations</t>
  </si>
  <si>
    <t>Less: Interest payments</t>
  </si>
  <si>
    <t>Working capital</t>
  </si>
  <si>
    <t>Interest on WC Loan</t>
  </si>
  <si>
    <t>Site Development</t>
  </si>
  <si>
    <t>Sales Budget</t>
  </si>
  <si>
    <t>Production budget</t>
  </si>
  <si>
    <t>Products</t>
  </si>
  <si>
    <t>Production at 100% capacity</t>
  </si>
  <si>
    <t>Electricity expense</t>
  </si>
  <si>
    <t>Usage in units</t>
  </si>
  <si>
    <t>Cost of Production</t>
  </si>
  <si>
    <t>Sub Total</t>
  </si>
  <si>
    <t>Total depreciation for the year</t>
  </si>
  <si>
    <t>Preliminary Expense</t>
  </si>
  <si>
    <t>Cash flow statement</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</si>
  <si>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</si>
  <si>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</si>
  <si>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</si>
  <si>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</si>
  <si>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</si>
  <si>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</si>
  <si>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</si>
  <si>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</si>
  <si>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</si>
  <si>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</si>
  <si>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</si>
  <si>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</si>
  <si>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</si>
  <si>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</si>
  <si>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</si>
  <si>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</si>
  <si>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</si>
  <si>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</si>
  <si>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</si>
  <si>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</si>
  <si>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</si>
  <si>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</si>
  <si>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</si>
  <si>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</si>
  <si>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</si>
  <si>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</si>
  <si>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</si>
  <si>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</si>
  <si>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</si>
  <si>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</si>
  <si>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</si>
  <si>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</si>
  <si>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</si>
  <si>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</si>
  <si>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</si>
  <si>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</si>
  <si>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</si>
  <si>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</si>
  <si>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</si>
  <si>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</si>
  <si>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</si>
  <si>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</si>
  <si>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Cash flows'!A1</t>
  </si>
  <si>
    <t>iv.</t>
  </si>
  <si>
    <t>Labour/ helper</t>
  </si>
  <si>
    <t>Annual cost</t>
  </si>
  <si>
    <t>1. asssumed that 60 days of purchases are average creditors maintained</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</si>
  <si>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</si>
  <si>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</si>
  <si>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</si>
  <si>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</si>
  <si>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</si>
  <si>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</si>
  <si>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</si>
  <si>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</si>
  <si>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</si>
  <si>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</si>
  <si>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</si>
  <si>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</si>
  <si>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</si>
  <si>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</si>
  <si>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</si>
  <si>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</si>
  <si>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</si>
  <si>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</si>
  <si>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</si>
  <si>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Asssumed that 30 days of purchases are average creditors maintained</t>
  </si>
  <si>
    <t>1. Civil Work</t>
  </si>
  <si>
    <t>Building, steel and wooden work</t>
  </si>
  <si>
    <t>Total Civil Work</t>
  </si>
  <si>
    <t>Estimated ocupational capacity</t>
  </si>
  <si>
    <t>Operational days/ months</t>
  </si>
  <si>
    <t>365 days/ 12 months</t>
  </si>
  <si>
    <t>Less: Pre incorporation expense</t>
  </si>
  <si>
    <t>Electricity fixed charge</t>
  </si>
  <si>
    <t>Less: Fixed costs</t>
  </si>
  <si>
    <t>Assumed that 60 days of sales are average debtors maintained by the business</t>
  </si>
  <si>
    <t>It is assumed that insuarance cost is 7% of purchase price and this will increase 5% annually</t>
  </si>
  <si>
    <t>Rs. per kg</t>
  </si>
  <si>
    <t>Service Centre Infrastructure</t>
  </si>
  <si>
    <t>Supervisor</t>
  </si>
  <si>
    <t>Accountant (Part time)</t>
  </si>
  <si>
    <t>v.</t>
  </si>
  <si>
    <t>Worker</t>
  </si>
  <si>
    <t>Distribution of profits (80%)</t>
  </si>
  <si>
    <t>Insurance cost @ 2% of purchase cost</t>
  </si>
  <si>
    <t>Grading and cleaning capacity per annum</t>
  </si>
  <si>
    <t>Storage</t>
  </si>
  <si>
    <t>Grading capacity</t>
  </si>
  <si>
    <t>Storage capacity</t>
  </si>
  <si>
    <t>Revenue per kg per/ per month</t>
  </si>
  <si>
    <t>kgs</t>
  </si>
  <si>
    <t>Grading capacity (kgs)</t>
  </si>
  <si>
    <t>Storage capacity (kgs)</t>
  </si>
  <si>
    <t>Grading Revenue</t>
  </si>
  <si>
    <t>Storage Revenue</t>
  </si>
  <si>
    <t>per kg per month</t>
  </si>
  <si>
    <t>per kg</t>
  </si>
  <si>
    <t>Unit</t>
  </si>
  <si>
    <t>Fixed ofice expenses</t>
  </si>
  <si>
    <t>Revenue from grading would increase 10% annually and from storage would increase by 5% annually</t>
  </si>
  <si>
    <t>Annexure 8 - Details of Manpower</t>
  </si>
  <si>
    <t>Fixed office expense</t>
  </si>
  <si>
    <t>Running and maintenance cost</t>
  </si>
  <si>
    <t>Rs. Per month per kg</t>
  </si>
  <si>
    <t>Electricity cost</t>
  </si>
  <si>
    <t>Interest on working capital</t>
  </si>
  <si>
    <t>Contribution %</t>
  </si>
  <si>
    <t>Sales mix</t>
  </si>
  <si>
    <t>Contribution proportionate</t>
  </si>
  <si>
    <t>Running and Manintenance expense @20% of sales</t>
  </si>
  <si>
    <t>BEP in rs.</t>
  </si>
  <si>
    <t>BEP in rs. (Grading)</t>
  </si>
  <si>
    <t>BEP in rs. (Storage)</t>
  </si>
  <si>
    <t>BEP in kgs (Grading)</t>
  </si>
  <si>
    <t>BEP in kgs (Storage)</t>
  </si>
  <si>
    <t>BEP in %</t>
  </si>
  <si>
    <t>BEP in % (Grading)</t>
  </si>
  <si>
    <t>BEP in %(Storage)</t>
  </si>
  <si>
    <t>Total sales at 100% capacity</t>
  </si>
  <si>
    <t>Electricity are semi-fixed cost. Rs. 120,000 pa is fixed, balance is variable at Rs. 10 per unit usage</t>
  </si>
  <si>
    <t>1. Electricity are semi-fixed cost. Rs. 120,000 pa is fixed, balance is variable at Rs. 10 per unit usage</t>
  </si>
  <si>
    <t>2. Electricity usage in units is given below</t>
  </si>
  <si>
    <t>3. It is assumed that insuarance cost is 2% of purchase price and this will increase 5% annually</t>
  </si>
  <si>
    <t>Drying cost (fixed Rs. 5 lakhs)</t>
  </si>
  <si>
    <t>Fixed cost - Drying</t>
  </si>
  <si>
    <t>Break even capacity at maximum capacity utilization</t>
  </si>
  <si>
    <t>Dryer</t>
  </si>
  <si>
    <t>Grain elevator</t>
  </si>
  <si>
    <t>Moisture tester</t>
  </si>
  <si>
    <t>Gravity separator</t>
  </si>
  <si>
    <t>Aspirator</t>
  </si>
  <si>
    <t>Destoner</t>
  </si>
  <si>
    <t>Washer</t>
  </si>
  <si>
    <t>Grain grader</t>
  </si>
  <si>
    <t>Tempering tank</t>
  </si>
  <si>
    <t>Total Project cost</t>
  </si>
  <si>
    <t>Add: benefits @ 10%</t>
  </si>
  <si>
    <t>DPR with subsidy</t>
  </si>
  <si>
    <t>In case of capital subsidy, the amount vary depending on location of unit  and scheme offered by the governemnt at that time. Thus it is assumed here that 20% of project cost.</t>
  </si>
  <si>
    <t>Amount of Subsidy (in lakhs)</t>
  </si>
  <si>
    <t>repaid via subsidy</t>
  </si>
  <si>
    <t>Subsidy for repayment of loan</t>
  </si>
  <si>
    <t>For the first year of operation the break-even capacity comes at 18.90%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</si>
</sst>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00000000_);_(* \(#,##0.000000000\);_(* &quot;-&quot;??_);_(@_)"/>
    <numFmt numFmtId="166" formatCode="0.000"/>
    <numFmt numFmtId="167" formatCode="_(* #,##0.000_);_(* \(#,##0.000\);_(* &quot;-&quot;?_);_(@_)"/>
    <numFmt numFmtId="168" formatCode="_(* #,##0.0000_);_(* \(#,##0.0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0"/>
      <name val="Adobe Devanagari"/>
      <family val="1"/>
    </font>
    <font>
      <u/>
      <sz val="11"/>
      <color theme="1"/>
      <name val="Adobe Devanagari"/>
      <family val="1"/>
    </font>
    <font>
      <sz val="11"/>
      <name val="Adobe Devanagari"/>
      <family val="1"/>
    </font>
    <font>
      <b/>
      <sz val="11"/>
      <name val="Adobe Devanagari"/>
      <family val="1"/>
    </font>
    <font>
      <sz val="11"/>
      <color theme="0"/>
      <name val="Adobe Devanagari"/>
      <family val="1"/>
    </font>
    <font>
      <sz val="12"/>
      <color theme="1"/>
      <name val="Adobe Devanagari"/>
      <family val="1"/>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41">
    <xf numFmtId="0" fontId="0" fillId="0" borderId="0" xfId="0"/>
    <xf numFmtId="0" fontId="3" fillId="0" borderId="0" xfId="0" applyFont="1"/>
    <xf numFmtId="0" fontId="2" fillId="0" borderId="0" xfId="0" applyFont="1"/>
    <xf numFmtId="0" fontId="0" fillId="0" borderId="0" xfId="0" quotePrefix="1"/>
    <xf numFmtId="43" fontId="0" fillId="0" borderId="0" xfId="1" applyFont="1"/>
    <xf numFmtId="0" fontId="5" fillId="0" borderId="0" xfId="0" applyFont="1"/>
    <xf numFmtId="0" fontId="6" fillId="0" borderId="0" xfId="0" applyFont="1"/>
    <xf numFmtId="0" fontId="5" fillId="0" borderId="1" xfId="0" applyFont="1" applyBorder="1"/>
    <xf numFmtId="0" fontId="6" fillId="0" borderId="1" xfId="0" applyFont="1" applyBorder="1"/>
    <xf numFmtId="0" fontId="7" fillId="0" borderId="1" xfId="3" quotePrefix="1" applyFont="1" applyBorder="1"/>
    <xf numFmtId="0" fontId="7" fillId="0" borderId="1" xfId="3" applyFont="1" applyBorder="1"/>
    <xf numFmtId="0" fontId="6" fillId="0" borderId="11" xfId="0" applyFont="1" applyBorder="1" applyAlignment="1">
      <alignment horizontal="left"/>
    </xf>
    <xf numFmtId="0" fontId="6" fillId="0" borderId="11" xfId="0" applyFont="1" applyBorder="1"/>
    <xf numFmtId="0" fontId="6" fillId="0" borderId="9" xfId="0" applyFont="1" applyBorder="1"/>
    <xf numFmtId="43" fontId="6" fillId="0" borderId="9" xfId="1" applyFont="1" applyBorder="1"/>
    <xf numFmtId="43" fontId="6" fillId="0" borderId="9" xfId="1" applyNumberFormat="1" applyFont="1" applyBorder="1"/>
    <xf numFmtId="43" fontId="6" fillId="0" borderId="9" xfId="0" applyNumberFormat="1" applyFont="1" applyBorder="1"/>
    <xf numFmtId="0" fontId="6" fillId="0" borderId="11" xfId="0" applyFont="1" applyBorder="1" applyAlignment="1">
      <alignment wrapText="1"/>
    </xf>
    <xf numFmtId="0" fontId="6" fillId="0" borderId="12" xfId="0" applyFont="1" applyBorder="1"/>
    <xf numFmtId="0" fontId="6" fillId="0" borderId="0" xfId="0" applyFont="1" applyAlignment="1">
      <alignment horizontal="left"/>
    </xf>
    <xf numFmtId="0" fontId="6" fillId="0" borderId="1" xfId="0" applyFont="1" applyFill="1" applyBorder="1"/>
    <xf numFmtId="0" fontId="8" fillId="0" borderId="0" xfId="0" applyFont="1" applyFill="1" applyBorder="1"/>
    <xf numFmtId="0" fontId="6" fillId="0" borderId="0" xfId="0" applyFont="1" applyFill="1" applyBorder="1"/>
    <xf numFmtId="0" fontId="5" fillId="0" borderId="12" xfId="0" applyFont="1" applyBorder="1" applyAlignment="1">
      <alignment horizontal="left"/>
    </xf>
    <xf numFmtId="0" fontId="5" fillId="0" borderId="12" xfId="0" applyFont="1" applyBorder="1"/>
    <xf numFmtId="43" fontId="5" fillId="0" borderId="10" xfId="0" applyNumberFormat="1" applyFont="1" applyBorder="1"/>
    <xf numFmtId="0" fontId="6" fillId="0" borderId="8" xfId="0" applyFont="1" applyBorder="1"/>
    <xf numFmtId="0" fontId="6" fillId="0" borderId="0" xfId="0" applyFont="1" applyBorder="1"/>
    <xf numFmtId="10" fontId="6" fillId="0" borderId="0" xfId="2" applyNumberFormat="1" applyFont="1"/>
    <xf numFmtId="2" fontId="6" fillId="0" borderId="0" xfId="0" applyNumberFormat="1" applyFont="1"/>
    <xf numFmtId="0" fontId="6" fillId="0" borderId="2" xfId="0" applyFont="1" applyBorder="1"/>
    <xf numFmtId="0" fontId="6" fillId="0" borderId="3" xfId="0" applyFont="1" applyBorder="1"/>
    <xf numFmtId="0" fontId="5" fillId="0" borderId="2" xfId="0" applyFont="1" applyBorder="1"/>
    <xf numFmtId="0" fontId="5" fillId="0" borderId="3" xfId="0" applyFont="1" applyBorder="1"/>
    <xf numFmtId="0" fontId="6" fillId="0" borderId="5" xfId="0" applyFont="1" applyBorder="1"/>
    <xf numFmtId="0" fontId="6" fillId="0" borderId="6" xfId="0" applyFont="1" applyBorder="1" applyAlignment="1">
      <alignment horizontal="left" wrapText="1"/>
    </xf>
    <xf numFmtId="0" fontId="6" fillId="0" borderId="6" xfId="0" applyFont="1" applyBorder="1"/>
    <xf numFmtId="0" fontId="6" fillId="0" borderId="6" xfId="0" applyFont="1" applyBorder="1" applyAlignment="1">
      <alignment horizontal="left"/>
    </xf>
    <xf numFmtId="164" fontId="6" fillId="0" borderId="6" xfId="1" applyNumberFormat="1" applyFont="1" applyBorder="1"/>
    <xf numFmtId="164" fontId="6" fillId="0" borderId="7" xfId="1" applyNumberFormat="1" applyFont="1" applyBorder="1" applyAlignment="1">
      <alignment horizontal="left"/>
    </xf>
    <xf numFmtId="0" fontId="5" fillId="0" borderId="13" xfId="0" applyFont="1" applyBorder="1"/>
    <xf numFmtId="0" fontId="5" fillId="0" borderId="14" xfId="0" applyFont="1" applyBorder="1"/>
    <xf numFmtId="164" fontId="5" fillId="0" borderId="10" xfId="0" applyNumberFormat="1" applyFont="1" applyBorder="1"/>
    <xf numFmtId="0" fontId="6" fillId="0" borderId="4" xfId="0" applyFont="1" applyBorder="1"/>
    <xf numFmtId="0" fontId="6" fillId="0" borderId="0" xfId="0" applyFont="1" applyBorder="1" applyAlignment="1">
      <alignment horizontal="left"/>
    </xf>
    <xf numFmtId="164" fontId="6" fillId="0" borderId="0" xfId="1" applyNumberFormat="1" applyFont="1" applyBorder="1"/>
    <xf numFmtId="164" fontId="5" fillId="0" borderId="4" xfId="0" applyNumberFormat="1" applyFont="1" applyBorder="1"/>
    <xf numFmtId="43" fontId="6" fillId="0" borderId="0" xfId="0" applyNumberFormat="1" applyFont="1"/>
    <xf numFmtId="164" fontId="6" fillId="0" borderId="0" xfId="0" applyNumberFormat="1" applyFont="1"/>
    <xf numFmtId="164" fontId="6" fillId="0" borderId="1" xfId="1" applyNumberFormat="1" applyFont="1" applyBorder="1"/>
    <xf numFmtId="0" fontId="5" fillId="0" borderId="6" xfId="0" applyFont="1" applyBorder="1"/>
    <xf numFmtId="0" fontId="6" fillId="0" borderId="15" xfId="0" applyFont="1" applyBorder="1"/>
    <xf numFmtId="0" fontId="6" fillId="0" borderId="7" xfId="0" applyFont="1" applyBorder="1"/>
    <xf numFmtId="164" fontId="6" fillId="0" borderId="11" xfId="0" applyNumberFormat="1" applyFont="1" applyBorder="1"/>
    <xf numFmtId="43" fontId="6" fillId="0" borderId="11" xfId="0" applyNumberFormat="1" applyFont="1" applyBorder="1"/>
    <xf numFmtId="164" fontId="6" fillId="0" borderId="11" xfId="1" applyNumberFormat="1" applyFont="1" applyBorder="1"/>
    <xf numFmtId="164" fontId="6" fillId="0" borderId="9" xfId="0" applyNumberFormat="1" applyFont="1" applyBorder="1"/>
    <xf numFmtId="0" fontId="5" fillId="0" borderId="0" xfId="0" applyFont="1" applyBorder="1"/>
    <xf numFmtId="164" fontId="6" fillId="0" borderId="9" xfId="1" applyNumberFormat="1" applyFont="1" applyBorder="1"/>
    <xf numFmtId="164" fontId="6" fillId="0" borderId="8" xfId="0" applyNumberFormat="1" applyFont="1" applyFill="1" applyBorder="1"/>
    <xf numFmtId="0" fontId="6" fillId="0" borderId="13" xfId="0" applyFont="1" applyBorder="1"/>
    <xf numFmtId="0" fontId="6" fillId="0" borderId="14" xfId="0" applyFont="1" applyBorder="1"/>
    <xf numFmtId="0" fontId="6" fillId="0" borderId="10" xfId="0" applyFont="1" applyBorder="1"/>
    <xf numFmtId="43" fontId="6" fillId="0" borderId="10" xfId="1" applyFont="1" applyBorder="1"/>
    <xf numFmtId="0" fontId="8" fillId="0" borderId="0" xfId="0" applyFont="1"/>
    <xf numFmtId="164" fontId="6" fillId="0" borderId="1" xfId="0" applyNumberFormat="1" applyFont="1" applyBorder="1"/>
    <xf numFmtId="164" fontId="6" fillId="0" borderId="10" xfId="0" applyNumberFormat="1" applyFont="1" applyBorder="1"/>
    <xf numFmtId="164" fontId="6" fillId="0" borderId="4" xfId="0" applyNumberFormat="1" applyFont="1" applyBorder="1"/>
    <xf numFmtId="9" fontId="6" fillId="0" borderId="0" xfId="0" applyNumberFormat="1" applyFont="1"/>
    <xf numFmtId="2" fontId="6" fillId="0" borderId="1" xfId="0" applyNumberFormat="1" applyFont="1" applyBorder="1"/>
    <xf numFmtId="2" fontId="6" fillId="0" borderId="1" xfId="1" applyNumberFormat="1" applyFont="1" applyBorder="1"/>
    <xf numFmtId="9" fontId="6" fillId="0" borderId="1" xfId="0" applyNumberFormat="1" applyFont="1" applyBorder="1"/>
    <xf numFmtId="0" fontId="6" fillId="0" borderId="1" xfId="0" applyFont="1" applyBorder="1" applyAlignment="1">
      <alignment horizontal="right"/>
    </xf>
    <xf numFmtId="0" fontId="6" fillId="0" borderId="1" xfId="0" applyFont="1" applyBorder="1" applyAlignment="1">
      <alignment horizontal="left"/>
    </xf>
    <xf numFmtId="43" fontId="6" fillId="0" borderId="1" xfId="0" applyNumberFormat="1" applyFont="1" applyBorder="1"/>
    <xf numFmtId="0" fontId="6" fillId="0" borderId="0" xfId="0" applyFont="1" applyAlignment="1">
      <alignment horizontal="right"/>
    </xf>
    <xf numFmtId="9" fontId="5" fillId="0" borderId="1" xfId="0" applyNumberFormat="1" applyFont="1" applyBorder="1"/>
    <xf numFmtId="43" fontId="6" fillId="0" borderId="1" xfId="1" applyFont="1" applyBorder="1"/>
    <xf numFmtId="164" fontId="6" fillId="0" borderId="0" xfId="1" applyNumberFormat="1" applyFont="1"/>
    <xf numFmtId="0" fontId="6" fillId="0" borderId="0" xfId="0" quotePrefix="1" applyFont="1"/>
    <xf numFmtId="0" fontId="6" fillId="3" borderId="0" xfId="0" applyFont="1" applyFill="1"/>
    <xf numFmtId="168" fontId="6" fillId="0" borderId="0" xfId="0" applyNumberFormat="1" applyFont="1"/>
    <xf numFmtId="9" fontId="6" fillId="0" borderId="0" xfId="2" applyFont="1"/>
    <xf numFmtId="10" fontId="6" fillId="0" borderId="0" xfId="0" applyNumberFormat="1" applyFont="1"/>
    <xf numFmtId="2" fontId="6" fillId="0" borderId="0" xfId="2" applyNumberFormat="1" applyFont="1"/>
    <xf numFmtId="2" fontId="6" fillId="3" borderId="0" xfId="2" applyNumberFormat="1" applyFont="1" applyFill="1"/>
    <xf numFmtId="2" fontId="6" fillId="3" borderId="0" xfId="0" applyNumberFormat="1" applyFont="1" applyFill="1"/>
    <xf numFmtId="10" fontId="6" fillId="3" borderId="0" xfId="2" applyNumberFormat="1" applyFont="1" applyFill="1"/>
    <xf numFmtId="9" fontId="6" fillId="3" borderId="0" xfId="2" applyFont="1" applyFill="1"/>
    <xf numFmtId="10" fontId="6" fillId="2" borderId="0" xfId="0" applyNumberFormat="1" applyFont="1" applyFill="1"/>
    <xf numFmtId="0" fontId="6" fillId="2" borderId="0" xfId="0" applyFont="1" applyFill="1" applyAlignment="1">
      <alignment horizontal="right"/>
    </xf>
    <xf numFmtId="0" fontId="9" fillId="0" borderId="0" xfId="0" applyFont="1"/>
    <xf numFmtId="0" fontId="6" fillId="0" borderId="1" xfId="0" applyFont="1" applyBorder="1" applyAlignment="1">
      <alignment vertical="top"/>
    </xf>
    <xf numFmtId="0" fontId="6" fillId="0" borderId="1" xfId="0" applyFont="1" applyBorder="1" applyAlignment="1">
      <alignment vertical="top" wrapText="1"/>
    </xf>
    <xf numFmtId="0" fontId="6" fillId="0" borderId="0" xfId="0" applyFont="1" applyAlignment="1">
      <alignment vertical="top"/>
    </xf>
    <xf numFmtId="164" fontId="6" fillId="0" borderId="1" xfId="0" applyNumberFormat="1" applyFont="1" applyBorder="1" applyAlignment="1">
      <alignment vertical="top"/>
    </xf>
    <xf numFmtId="167" fontId="6" fillId="0" borderId="1" xfId="0" applyNumberFormat="1" applyFont="1" applyBorder="1" applyAlignment="1">
      <alignment vertical="top" wrapText="1"/>
    </xf>
    <xf numFmtId="0" fontId="5" fillId="0" borderId="1" xfId="0" applyFont="1" applyBorder="1" applyAlignment="1">
      <alignment vertical="top"/>
    </xf>
    <xf numFmtId="0" fontId="5" fillId="0" borderId="1" xfId="0" applyFont="1" applyBorder="1" applyAlignment="1">
      <alignment vertical="top" wrapText="1"/>
    </xf>
    <xf numFmtId="0" fontId="5" fillId="0" borderId="0" xfId="0" applyFont="1" applyAlignment="1">
      <alignment vertical="top"/>
    </xf>
    <xf numFmtId="0" fontId="10" fillId="0" borderId="0" xfId="0" applyFont="1"/>
    <xf numFmtId="0" fontId="9" fillId="0" borderId="1" xfId="0" applyFont="1" applyBorder="1"/>
    <xf numFmtId="164" fontId="9" fillId="0" borderId="1" xfId="1" applyNumberFormat="1" applyFont="1" applyBorder="1"/>
    <xf numFmtId="164" fontId="11" fillId="0" borderId="0" xfId="1" applyNumberFormat="1" applyFont="1"/>
    <xf numFmtId="10" fontId="11" fillId="0" borderId="0" xfId="1" applyNumberFormat="1" applyFont="1"/>
    <xf numFmtId="0" fontId="11" fillId="0" borderId="0" xfId="0" applyFont="1"/>
    <xf numFmtId="165" fontId="11" fillId="0" borderId="0" xfId="1" applyNumberFormat="1" applyFont="1"/>
    <xf numFmtId="164" fontId="11" fillId="0" borderId="0" xfId="0" applyNumberFormat="1" applyFont="1"/>
    <xf numFmtId="0" fontId="5" fillId="4" borderId="1" xfId="0" applyFont="1" applyFill="1" applyBorder="1"/>
    <xf numFmtId="0" fontId="5" fillId="4" borderId="1" xfId="0" applyFont="1" applyFill="1" applyBorder="1" applyAlignment="1">
      <alignment wrapText="1"/>
    </xf>
    <xf numFmtId="0" fontId="6" fillId="4" borderId="2" xfId="0" applyFont="1" applyFill="1" applyBorder="1"/>
    <xf numFmtId="0" fontId="6" fillId="4" borderId="3" xfId="0" applyFont="1" applyFill="1" applyBorder="1"/>
    <xf numFmtId="0" fontId="6" fillId="4" borderId="4" xfId="0" applyFont="1" applyFill="1" applyBorder="1"/>
    <xf numFmtId="0" fontId="5" fillId="4" borderId="2" xfId="0" applyFont="1" applyFill="1" applyBorder="1"/>
    <xf numFmtId="0" fontId="5" fillId="4" borderId="3" xfId="0" applyFont="1" applyFill="1" applyBorder="1"/>
    <xf numFmtId="0" fontId="5" fillId="4" borderId="4" xfId="0" applyFont="1" applyFill="1" applyBorder="1"/>
    <xf numFmtId="0" fontId="5" fillId="4" borderId="6" xfId="0" applyFont="1" applyFill="1" applyBorder="1"/>
    <xf numFmtId="0" fontId="8" fillId="4" borderId="0" xfId="0" applyFont="1" applyFill="1"/>
    <xf numFmtId="0" fontId="6" fillId="4" borderId="0" xfId="0" applyFont="1" applyFill="1"/>
    <xf numFmtId="0" fontId="5" fillId="4" borderId="0" xfId="0" applyFont="1" applyFill="1"/>
    <xf numFmtId="0" fontId="6" fillId="4" borderId="1" xfId="0" applyFont="1" applyFill="1" applyBorder="1"/>
    <xf numFmtId="0" fontId="9" fillId="4" borderId="1" xfId="0" applyFont="1" applyFill="1" applyBorder="1" applyAlignment="1">
      <alignment horizontal="center"/>
    </xf>
    <xf numFmtId="0" fontId="6" fillId="4" borderId="8" xfId="0" applyFont="1" applyFill="1" applyBorder="1"/>
    <xf numFmtId="0" fontId="6" fillId="4" borderId="0" xfId="0" applyFont="1" applyFill="1" applyBorder="1"/>
    <xf numFmtId="0" fontId="6" fillId="4" borderId="11" xfId="0" applyFont="1" applyFill="1" applyBorder="1"/>
    <xf numFmtId="0" fontId="6" fillId="4" borderId="9" xfId="0" applyFont="1" applyFill="1" applyBorder="1"/>
    <xf numFmtId="164" fontId="6" fillId="4" borderId="9" xfId="0" applyNumberFormat="1" applyFont="1" applyFill="1" applyBorder="1"/>
    <xf numFmtId="166" fontId="6" fillId="0" borderId="0" xfId="0" applyNumberFormat="1" applyFont="1"/>
    <xf numFmtId="0" fontId="12" fillId="0" borderId="0" xfId="0" applyFont="1" applyBorder="1" applyAlignment="1">
      <alignment vertical="center" wrapText="1"/>
    </xf>
    <xf numFmtId="43" fontId="5" fillId="0" borderId="4" xfId="0" applyNumberFormat="1" applyFont="1" applyBorder="1"/>
    <xf numFmtId="164" fontId="6" fillId="0" borderId="7" xfId="1" applyNumberFormat="1" applyFont="1" applyBorder="1" applyAlignment="1">
      <alignment horizontal="center"/>
    </xf>
    <xf numFmtId="164" fontId="6" fillId="0" borderId="9" xfId="1" applyNumberFormat="1" applyFont="1" applyBorder="1" applyAlignment="1">
      <alignment horizontal="center"/>
    </xf>
    <xf numFmtId="164" fontId="6" fillId="0" borderId="10" xfId="1" applyNumberFormat="1" applyFont="1" applyBorder="1" applyAlignment="1">
      <alignment horizontal="center"/>
    </xf>
    <xf numFmtId="0" fontId="5" fillId="4" borderId="3" xfId="0" applyFont="1" applyFill="1" applyBorder="1" applyAlignment="1">
      <alignment horizontal="center"/>
    </xf>
    <xf numFmtId="0" fontId="5" fillId="4" borderId="1" xfId="0" applyFont="1" applyFill="1" applyBorder="1" applyAlignment="1">
      <alignment horizontal="center"/>
    </xf>
    <xf numFmtId="0" fontId="6" fillId="0" borderId="1" xfId="0" applyFont="1" applyBorder="1" applyAlignment="1">
      <alignment horizontal="left"/>
    </xf>
    <xf numFmtId="0" fontId="6" fillId="0" borderId="0" xfId="0" applyFont="1" applyAlignment="1">
      <alignment horizontal="left" wrapText="1"/>
    </xf>
    <xf numFmtId="0" fontId="0" fillId="0" borderId="0" xfId="0" applyAlignment="1">
      <alignment horizontal="center"/>
    </xf>
    <xf numFmtId="0" fontId="6" fillId="0" borderId="1" xfId="0" applyFont="1" applyBorder="1" applyAlignment="1">
      <alignment horizontal="center" vertical="center"/>
    </xf>
    <xf numFmtId="0" fontId="5" fillId="4" borderId="15" xfId="0" applyFont="1" applyFill="1" applyBorder="1" applyAlignment="1">
      <alignment horizontal="center"/>
    </xf>
    <xf numFmtId="0" fontId="5" fillId="4" borderId="12" xfId="0" applyFont="1"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workbookViewId="0">
      <selection activeCell="B14" sqref="B14"/>
    </sheetView>
  </sheetViews>
  <sheetFormatPr defaultRowHeight="17" x14ac:dyDescent="0.6"/>
  <cols>
    <col min="1" max="1" width="57.90625" style="6" bestFit="1" customWidth="1"/>
    <col min="2" max="2" width="14.453125" style="6" bestFit="1" customWidth="1"/>
    <col min="3" max="16384" width="8.7265625" style="6"/>
  </cols>
  <sheetData>
    <row r="1" spans="1:2" x14ac:dyDescent="0.6">
      <c r="A1" s="5" t="s">
        <v>202</v>
      </c>
    </row>
    <row r="3" spans="1:2" x14ac:dyDescent="0.6">
      <c r="A3" s="108" t="s">
        <v>203</v>
      </c>
      <c r="B3" s="108" t="s">
        <v>204</v>
      </c>
    </row>
    <row r="4" spans="1:2" x14ac:dyDescent="0.6">
      <c r="A4" s="8" t="str">
        <f>'[1]Ann 1'!A3</f>
        <v>Annexure 1 - Estimated cost of the project</v>
      </c>
      <c r="B4" s="9" t="s">
        <v>205</v>
      </c>
    </row>
    <row r="5" spans="1:2" x14ac:dyDescent="0.6">
      <c r="A5" s="8" t="str">
        <f>'[1]Ann 2'!A1</f>
        <v>Annexure 2 - Means of Finance</v>
      </c>
      <c r="B5" s="9" t="s">
        <v>206</v>
      </c>
    </row>
    <row r="6" spans="1:2" x14ac:dyDescent="0.6">
      <c r="A6" s="8" t="str">
        <f>'Ann 3'!A1</f>
        <v>Annexure 3 - Complete Estimate of Civil and Plant and Machinery</v>
      </c>
      <c r="B6" s="9" t="s">
        <v>224</v>
      </c>
    </row>
    <row r="7" spans="1:2" x14ac:dyDescent="0.6">
      <c r="A7" s="8" t="str">
        <f>'[1]Ann 4'!A1</f>
        <v>Annexure 4 - Estimated Cost of Production</v>
      </c>
      <c r="B7" s="9" t="s">
        <v>207</v>
      </c>
    </row>
    <row r="8" spans="1:2" x14ac:dyDescent="0.6">
      <c r="A8" s="8" t="str">
        <f>'[1]Ann 5'!A1</f>
        <v>Annexure 5- Projected balance sheet</v>
      </c>
      <c r="B8" s="9" t="s">
        <v>208</v>
      </c>
    </row>
    <row r="9" spans="1:2" x14ac:dyDescent="0.6">
      <c r="A9" s="8" t="str">
        <f>'Ann 8'!A1</f>
        <v>Annexure 8 - Details of Manpower</v>
      </c>
      <c r="B9" s="9" t="s">
        <v>209</v>
      </c>
    </row>
    <row r="10" spans="1:2" x14ac:dyDescent="0.6">
      <c r="A10" s="8" t="str">
        <f>'Ann 9'!A1</f>
        <v>Annexure 9 - Computation of Depreciation</v>
      </c>
      <c r="B10" s="9" t="s">
        <v>210</v>
      </c>
    </row>
    <row r="11" spans="1:2" x14ac:dyDescent="0.6">
      <c r="A11" s="8" t="str">
        <f>'Ann 10'!A1</f>
        <v>Annexure 10 - Calculation of Income tax</v>
      </c>
      <c r="B11" s="9" t="s">
        <v>211</v>
      </c>
    </row>
    <row r="12" spans="1:2" x14ac:dyDescent="0.6">
      <c r="A12" s="8" t="str">
        <f>'[1]Ann 11'!A1</f>
        <v>Annexure 11- Break even analysis (At maximum capacity utilization)</v>
      </c>
      <c r="B12" s="9" t="s">
        <v>212</v>
      </c>
    </row>
    <row r="13" spans="1:2" x14ac:dyDescent="0.6">
      <c r="A13" s="8" t="str">
        <f>'Ann 13'!A1</f>
        <v>Annexure 13 - Repayment schedule</v>
      </c>
      <c r="B13" s="9" t="s">
        <v>213</v>
      </c>
    </row>
    <row r="14" spans="1:2" x14ac:dyDescent="0.6">
      <c r="A14" s="8" t="str">
        <f>[1]Assumptions!B1</f>
        <v>Assumptions</v>
      </c>
      <c r="B14" s="10" t="s">
        <v>214</v>
      </c>
    </row>
    <row r="15" spans="1:2" x14ac:dyDescent="0.6">
      <c r="A15" s="8" t="str">
        <f>'Cash flows'!A1</f>
        <v>Cash flow statement</v>
      </c>
      <c r="B15" s="9" t="s">
        <v>219</v>
      </c>
    </row>
    <row r="16" spans="1:2" x14ac:dyDescent="0.6">
      <c r="A16" s="8" t="str">
        <f>[1]Budgets!A1</f>
        <v>Sales Budget</v>
      </c>
      <c r="B16" s="10" t="s">
        <v>215</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9" location="'Ann 8'!A1" display="'Ann 8'!A1" xr:uid="{4BFF2D8E-3B2F-47B1-821E-2A9D5F3C599D}"/>
    <hyperlink ref="B10" location="'Ann 9'!A1" display="'Ann 9'!A1" xr:uid="{E91052E2-C8F3-4E24-802C-38C31EA75505}"/>
    <hyperlink ref="B11" location="'Ann 10'!A1" display="'Ann 10'!A1" xr:uid="{6A4B47E0-EA66-439F-8C5A-E0DF1C723C34}"/>
    <hyperlink ref="B12" location="'Ann 11'!A1" display="'Ann 11'!A1" xr:uid="{91648EFB-F5F2-42E9-8853-705ACD4F62EF}"/>
    <hyperlink ref="B13" location="'Ann 13'!A1" display="'Ann 13'!A1" xr:uid="{D748CAF8-9377-4D17-A5F2-F1A083E6D389}"/>
    <hyperlink ref="B14" location="Assumptions!A1" display="Assumptions!A1" xr:uid="{E978F649-0532-497D-92AA-EF316AAFA8E7}"/>
    <hyperlink ref="B16" location="Budgets!A1" display="Budgets!A1" xr:uid="{4CD23AF4-AE8A-40D8-A5ED-3F33524C9974}"/>
    <hyperlink ref="B15" location="'Cash flows'!A1" display="'Cash flows'!A1" xr:uid="{718213C1-E053-4B01-87D5-A7B478363B5A}"/>
    <hyperlink ref="B6" location="'Ann 3'!A1" display="'Ann 3'!A1" xr:uid="{103D0423-931A-4127-89EA-F0D3EE7C4F9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C19" sqref="C19"/>
    </sheetView>
  </sheetViews>
  <sheetFormatPr defaultRowHeight="17" x14ac:dyDescent="0.6"/>
  <cols>
    <col min="1" max="1" width="20.90625" style="6" customWidth="1"/>
    <col min="2" max="10" width="13.6328125" style="6" bestFit="1" customWidth="1"/>
    <col min="11" max="16384" width="8.7265625" style="6"/>
  </cols>
  <sheetData>
    <row r="1" spans="1:10" x14ac:dyDescent="0.6">
      <c r="A1" s="5" t="s">
        <v>105</v>
      </c>
    </row>
    <row r="3" spans="1:10" x14ac:dyDescent="0.6">
      <c r="A3" s="64" t="s">
        <v>106</v>
      </c>
    </row>
    <row r="5" spans="1:10" s="5" customFormat="1" x14ac:dyDescent="0.6">
      <c r="A5" s="134" t="s">
        <v>3</v>
      </c>
      <c r="B5" s="134" t="s">
        <v>48</v>
      </c>
      <c r="C5" s="134"/>
      <c r="D5" s="134"/>
      <c r="E5" s="134"/>
      <c r="F5" s="134"/>
      <c r="G5" s="134"/>
      <c r="H5" s="134"/>
      <c r="I5" s="134"/>
      <c r="J5" s="134"/>
    </row>
    <row r="6" spans="1:10" s="5" customFormat="1" x14ac:dyDescent="0.6">
      <c r="A6" s="134"/>
      <c r="B6" s="108" t="s">
        <v>39</v>
      </c>
      <c r="C6" s="108" t="s">
        <v>40</v>
      </c>
      <c r="D6" s="108" t="s">
        <v>41</v>
      </c>
      <c r="E6" s="108" t="s">
        <v>42</v>
      </c>
      <c r="F6" s="108" t="s">
        <v>43</v>
      </c>
      <c r="G6" s="108" t="s">
        <v>44</v>
      </c>
      <c r="H6" s="108" t="s">
        <v>45</v>
      </c>
      <c r="I6" s="108" t="s">
        <v>46</v>
      </c>
      <c r="J6" s="108" t="s">
        <v>47</v>
      </c>
    </row>
    <row r="7" spans="1:10" x14ac:dyDescent="0.6">
      <c r="A7" s="8" t="s">
        <v>107</v>
      </c>
      <c r="B7" s="49">
        <f>'Ann 4'!C27</f>
        <v>8472210.384615384</v>
      </c>
      <c r="C7" s="49">
        <f>'Ann 4'!D27</f>
        <v>9801090.1846153848</v>
      </c>
      <c r="D7" s="49">
        <f>'Ann 4'!E27</f>
        <v>10589221.074461536</v>
      </c>
      <c r="E7" s="49">
        <f>'Ann 4'!F27</f>
        <v>11367520.795827691</v>
      </c>
      <c r="F7" s="49">
        <f>'Ann 4'!G27</f>
        <v>12135359.651920246</v>
      </c>
      <c r="G7" s="49">
        <f>'Ann 4'!H27</f>
        <v>12906218.71449697</v>
      </c>
      <c r="H7" s="49">
        <f>'Ann 4'!I27</f>
        <v>13665231.32003195</v>
      </c>
      <c r="I7" s="49">
        <f>'Ann 4'!J27</f>
        <v>13522552.864440124</v>
      </c>
      <c r="J7" s="49">
        <f>'Ann 4'!K27</f>
        <v>13369972.68307787</v>
      </c>
    </row>
    <row r="8" spans="1:10" x14ac:dyDescent="0.6">
      <c r="A8" s="8" t="s">
        <v>108</v>
      </c>
      <c r="B8" s="49">
        <v>0</v>
      </c>
      <c r="C8" s="49">
        <v>0</v>
      </c>
      <c r="D8" s="49">
        <v>0</v>
      </c>
      <c r="E8" s="49">
        <v>0</v>
      </c>
      <c r="F8" s="49">
        <v>0</v>
      </c>
      <c r="G8" s="49">
        <v>0</v>
      </c>
      <c r="H8" s="49">
        <v>0</v>
      </c>
      <c r="I8" s="49">
        <v>0</v>
      </c>
      <c r="J8" s="49">
        <v>0</v>
      </c>
    </row>
    <row r="9" spans="1:10" x14ac:dyDescent="0.6">
      <c r="A9" s="8" t="s">
        <v>109</v>
      </c>
      <c r="B9" s="49">
        <f>B7+B8</f>
        <v>8472210.384615384</v>
      </c>
      <c r="C9" s="49">
        <f t="shared" ref="C9:J9" si="0">C7+C8</f>
        <v>9801090.1846153848</v>
      </c>
      <c r="D9" s="49">
        <f t="shared" si="0"/>
        <v>10589221.074461536</v>
      </c>
      <c r="E9" s="49">
        <f t="shared" si="0"/>
        <v>11367520.795827691</v>
      </c>
      <c r="F9" s="49">
        <f t="shared" si="0"/>
        <v>12135359.651920246</v>
      </c>
      <c r="G9" s="49">
        <f t="shared" si="0"/>
        <v>12906218.71449697</v>
      </c>
      <c r="H9" s="49">
        <f t="shared" si="0"/>
        <v>13665231.32003195</v>
      </c>
      <c r="I9" s="49">
        <f t="shared" si="0"/>
        <v>13522552.864440124</v>
      </c>
      <c r="J9" s="49">
        <f t="shared" si="0"/>
        <v>13369972.68307787</v>
      </c>
    </row>
    <row r="10" spans="1:10" x14ac:dyDescent="0.6">
      <c r="A10" s="8" t="s">
        <v>110</v>
      </c>
      <c r="B10" s="49">
        <f>SUM('Ann 9'!C12:E12)</f>
        <v>542500</v>
      </c>
      <c r="C10" s="49">
        <f>SUM('Ann 9'!C13:E13)</f>
        <v>462375</v>
      </c>
      <c r="D10" s="49">
        <f>SUM('Ann 9'!C14:E14)</f>
        <v>394143.75</v>
      </c>
      <c r="E10" s="49">
        <f>SUM('Ann 9'!C15:E15)</f>
        <v>336034.6875</v>
      </c>
      <c r="F10" s="49">
        <f>SUM('Ann 9'!C16:E16)</f>
        <v>286540.734375</v>
      </c>
      <c r="G10" s="49">
        <f>SUM('Ann 9'!C17:E17)</f>
        <v>244379.74921874999</v>
      </c>
      <c r="H10" s="49">
        <f>SUM('Ann 9'!C18:E18)</f>
        <v>208460.89933593749</v>
      </c>
      <c r="I10" s="49">
        <f>SUM('Ann 9'!C19:E19)</f>
        <v>177856.0656855469</v>
      </c>
      <c r="J10" s="49">
        <f>SUM('Ann 9'!C20:E20)</f>
        <v>151775.52695771484</v>
      </c>
    </row>
    <row r="11" spans="1:10" x14ac:dyDescent="0.6">
      <c r="A11" s="8" t="s">
        <v>109</v>
      </c>
      <c r="B11" s="49">
        <f>B9-B10</f>
        <v>7929710.384615384</v>
      </c>
      <c r="C11" s="49">
        <f t="shared" ref="C11:J11" si="1">C9-C10</f>
        <v>9338715.1846153848</v>
      </c>
      <c r="D11" s="49">
        <f t="shared" si="1"/>
        <v>10195077.324461536</v>
      </c>
      <c r="E11" s="49">
        <f t="shared" si="1"/>
        <v>11031486.108327691</v>
      </c>
      <c r="F11" s="49">
        <f t="shared" si="1"/>
        <v>11848818.917545246</v>
      </c>
      <c r="G11" s="49">
        <f t="shared" si="1"/>
        <v>12661838.965278219</v>
      </c>
      <c r="H11" s="49">
        <f t="shared" si="1"/>
        <v>13456770.420696013</v>
      </c>
      <c r="I11" s="49">
        <f t="shared" si="1"/>
        <v>13344696.798754578</v>
      </c>
      <c r="J11" s="49">
        <f t="shared" si="1"/>
        <v>13218197.156120155</v>
      </c>
    </row>
    <row r="12" spans="1:10" x14ac:dyDescent="0.6">
      <c r="A12" s="8" t="s">
        <v>111</v>
      </c>
      <c r="B12" s="77">
        <v>0</v>
      </c>
      <c r="C12" s="77">
        <v>0</v>
      </c>
      <c r="D12" s="77">
        <v>0</v>
      </c>
      <c r="E12" s="77">
        <v>0</v>
      </c>
      <c r="F12" s="77">
        <v>0</v>
      </c>
      <c r="G12" s="77">
        <v>0</v>
      </c>
      <c r="H12" s="77">
        <v>0</v>
      </c>
      <c r="I12" s="77">
        <v>0</v>
      </c>
      <c r="J12" s="77">
        <v>0</v>
      </c>
    </row>
    <row r="13" spans="1:10" x14ac:dyDescent="0.6">
      <c r="A13" s="8" t="s">
        <v>112</v>
      </c>
      <c r="B13" s="65">
        <f>B11</f>
        <v>7929710.384615384</v>
      </c>
      <c r="C13" s="65">
        <f t="shared" ref="C13:J13" si="2">C11</f>
        <v>9338715.1846153848</v>
      </c>
      <c r="D13" s="65">
        <f t="shared" si="2"/>
        <v>10195077.324461536</v>
      </c>
      <c r="E13" s="65">
        <f t="shared" si="2"/>
        <v>11031486.108327691</v>
      </c>
      <c r="F13" s="65">
        <f t="shared" si="2"/>
        <v>11848818.917545246</v>
      </c>
      <c r="G13" s="65">
        <f t="shared" si="2"/>
        <v>12661838.965278219</v>
      </c>
      <c r="H13" s="65">
        <f t="shared" si="2"/>
        <v>13456770.420696013</v>
      </c>
      <c r="I13" s="65">
        <f t="shared" si="2"/>
        <v>13344696.798754578</v>
      </c>
      <c r="J13" s="65">
        <f t="shared" si="2"/>
        <v>13218197.156120155</v>
      </c>
    </row>
    <row r="14" spans="1:10" x14ac:dyDescent="0.6">
      <c r="A14" s="8" t="s">
        <v>113</v>
      </c>
      <c r="B14" s="65">
        <f>B13*30%</f>
        <v>2378913.115384615</v>
      </c>
      <c r="C14" s="65">
        <f t="shared" ref="C14:J14" si="3">C13*30%</f>
        <v>2801614.5553846154</v>
      </c>
      <c r="D14" s="65">
        <f t="shared" si="3"/>
        <v>3058523.1973384609</v>
      </c>
      <c r="E14" s="65">
        <f t="shared" si="3"/>
        <v>3309445.8324983069</v>
      </c>
      <c r="F14" s="65">
        <f t="shared" si="3"/>
        <v>3554645.6752635739</v>
      </c>
      <c r="G14" s="65">
        <f t="shared" si="3"/>
        <v>3798551.6895834655</v>
      </c>
      <c r="H14" s="65">
        <f t="shared" si="3"/>
        <v>4037031.1262088036</v>
      </c>
      <c r="I14" s="65">
        <f t="shared" si="3"/>
        <v>4003409.0396263734</v>
      </c>
      <c r="J14" s="65">
        <f t="shared" si="3"/>
        <v>3965459.1468360461</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43"/>
  <sheetViews>
    <sheetView topLeftCell="A35" workbookViewId="0">
      <selection activeCell="A43" sqref="A43:E43"/>
    </sheetView>
  </sheetViews>
  <sheetFormatPr defaultRowHeight="17" x14ac:dyDescent="0.6"/>
  <cols>
    <col min="1" max="1" width="8.7265625" style="6"/>
    <col min="2" max="2" width="26.7265625" style="6" bestFit="1" customWidth="1"/>
    <col min="3" max="3" width="14.6328125" style="6" bestFit="1" customWidth="1"/>
    <col min="4" max="4" width="14.90625" style="6" bestFit="1" customWidth="1"/>
    <col min="5" max="5" width="13.90625" style="6" bestFit="1" customWidth="1"/>
    <col min="6" max="14" width="8.7265625" style="6"/>
    <col min="15" max="15" width="13.6328125" style="6" bestFit="1" customWidth="1"/>
    <col min="16" max="16" width="12.54296875" style="6" bestFit="1" customWidth="1"/>
    <col min="17" max="16384" width="8.7265625" style="6"/>
  </cols>
  <sheetData>
    <row r="1" spans="1:7" x14ac:dyDescent="0.6">
      <c r="A1" s="5" t="s">
        <v>70</v>
      </c>
    </row>
    <row r="3" spans="1:7" x14ac:dyDescent="0.6">
      <c r="A3" s="117" t="s">
        <v>303</v>
      </c>
      <c r="B3" s="118"/>
      <c r="C3" s="118"/>
      <c r="D3" s="118"/>
      <c r="E3" s="118"/>
    </row>
    <row r="5" spans="1:7" x14ac:dyDescent="0.6">
      <c r="B5" s="6" t="s">
        <v>50</v>
      </c>
      <c r="E5" s="78">
        <f>'Ann 4'!C19/70%</f>
        <v>21000000</v>
      </c>
    </row>
    <row r="6" spans="1:7" x14ac:dyDescent="0.6">
      <c r="B6" s="6" t="s">
        <v>71</v>
      </c>
    </row>
    <row r="7" spans="1:7" x14ac:dyDescent="0.6">
      <c r="B7" s="79" t="s">
        <v>72</v>
      </c>
      <c r="D7" s="48">
        <f>E5*10%</f>
        <v>2100000</v>
      </c>
    </row>
    <row r="8" spans="1:7" x14ac:dyDescent="0.6">
      <c r="B8" s="79" t="s">
        <v>73</v>
      </c>
      <c r="D8" s="48">
        <f>'Ann 4'!C24</f>
        <v>44900</v>
      </c>
      <c r="E8" s="48"/>
    </row>
    <row r="9" spans="1:7" x14ac:dyDescent="0.6">
      <c r="B9" s="79" t="s">
        <v>76</v>
      </c>
      <c r="D9" s="48">
        <f>'Ann 4'!K40</f>
        <v>1407100.42265625</v>
      </c>
      <c r="E9" s="48">
        <f>SUM(D7:D9)</f>
        <v>3552000.4226562502</v>
      </c>
      <c r="G9" s="47"/>
    </row>
    <row r="10" spans="1:7" x14ac:dyDescent="0.6">
      <c r="B10" s="6" t="s">
        <v>74</v>
      </c>
      <c r="E10" s="48">
        <f>E5-E9</f>
        <v>17447999.577343751</v>
      </c>
    </row>
    <row r="11" spans="1:7" x14ac:dyDescent="0.6">
      <c r="B11" s="6" t="s">
        <v>252</v>
      </c>
    </row>
    <row r="12" spans="1:7" x14ac:dyDescent="0.6">
      <c r="B12" s="6" t="s">
        <v>75</v>
      </c>
      <c r="E12" s="48">
        <f>'Ann 8'!E16</f>
        <v>1317360</v>
      </c>
    </row>
    <row r="13" spans="1:7" x14ac:dyDescent="0.6">
      <c r="B13" s="6" t="s">
        <v>77</v>
      </c>
      <c r="E13" s="48">
        <f>'Ann 9'!F12</f>
        <v>542500</v>
      </c>
    </row>
    <row r="14" spans="1:7" x14ac:dyDescent="0.6">
      <c r="B14" s="6" t="s">
        <v>251</v>
      </c>
      <c r="E14" s="48">
        <v>120000</v>
      </c>
    </row>
    <row r="15" spans="1:7" x14ac:dyDescent="0.6">
      <c r="B15" s="6" t="s">
        <v>302</v>
      </c>
      <c r="E15" s="48">
        <v>500000</v>
      </c>
    </row>
    <row r="16" spans="1:7" x14ac:dyDescent="0.6">
      <c r="B16" s="6" t="s">
        <v>279</v>
      </c>
      <c r="E16" s="48">
        <v>200000</v>
      </c>
    </row>
    <row r="17" spans="2:5" x14ac:dyDescent="0.6">
      <c r="B17" s="6" t="s">
        <v>198</v>
      </c>
      <c r="E17" s="48">
        <f>SUM('Ann 13'!E10:E13)*100000</f>
        <v>291529.61538461532</v>
      </c>
    </row>
    <row r="18" spans="2:5" x14ac:dyDescent="0.6">
      <c r="B18" s="6" t="s">
        <v>78</v>
      </c>
      <c r="E18" s="48">
        <f>SUM(E12:E17)</f>
        <v>2971389.6153846155</v>
      </c>
    </row>
    <row r="20" spans="2:5" x14ac:dyDescent="0.6">
      <c r="B20" s="119" t="s">
        <v>3</v>
      </c>
      <c r="C20" s="119" t="s">
        <v>255</v>
      </c>
      <c r="D20" s="119" t="s">
        <v>281</v>
      </c>
      <c r="E20" s="118"/>
    </row>
    <row r="21" spans="2:5" x14ac:dyDescent="0.6">
      <c r="B21" s="6" t="s">
        <v>79</v>
      </c>
      <c r="C21" s="6">
        <f>Budgets!C17</f>
        <v>1.25</v>
      </c>
      <c r="D21" s="6">
        <f>Budgets!C18</f>
        <v>10</v>
      </c>
      <c r="E21" s="80"/>
    </row>
    <row r="22" spans="2:5" x14ac:dyDescent="0.6">
      <c r="B22" s="6" t="s">
        <v>71</v>
      </c>
      <c r="E22" s="80"/>
    </row>
    <row r="23" spans="2:5" x14ac:dyDescent="0.6">
      <c r="B23" s="6" t="s">
        <v>280</v>
      </c>
      <c r="C23" s="6">
        <f>C21*20%</f>
        <v>0.25</v>
      </c>
      <c r="D23" s="6">
        <f>D21*20%</f>
        <v>2</v>
      </c>
      <c r="E23" s="80"/>
    </row>
    <row r="24" spans="2:5" x14ac:dyDescent="0.6">
      <c r="B24" s="6" t="s">
        <v>282</v>
      </c>
      <c r="C24" s="6">
        <f>('Ann 4'!$C$40/70%)*(3/4)/Budgets!B12</f>
        <v>0.11160714285714286</v>
      </c>
      <c r="D24" s="6">
        <f>('Ann 4'!$C$40/70%)*(1/4)/Budgets!B18</f>
        <v>0.22321428571428575</v>
      </c>
      <c r="E24" s="80"/>
    </row>
    <row r="25" spans="2:5" x14ac:dyDescent="0.6">
      <c r="B25" s="6" t="s">
        <v>283</v>
      </c>
      <c r="C25" s="47">
        <f>(D8/100000)*1/4</f>
        <v>0.11225</v>
      </c>
      <c r="D25" s="47">
        <f>(D8/100000)*3/4</f>
        <v>0.33674999999999999</v>
      </c>
      <c r="E25" s="80"/>
    </row>
    <row r="26" spans="2:5" x14ac:dyDescent="0.6">
      <c r="C26" s="81">
        <f>C21-C23-C24-C25</f>
        <v>0.77614285714285713</v>
      </c>
      <c r="D26" s="81">
        <f>D21-D23-D24-D25</f>
        <v>7.4400357142857141</v>
      </c>
      <c r="E26" s="80"/>
    </row>
    <row r="27" spans="2:5" x14ac:dyDescent="0.6">
      <c r="B27" s="6" t="s">
        <v>284</v>
      </c>
      <c r="C27" s="28">
        <f>C26/C21</f>
        <v>0.62091428571428575</v>
      </c>
      <c r="D27" s="28">
        <f>D26/D21</f>
        <v>0.74400357142857143</v>
      </c>
      <c r="E27" s="80"/>
    </row>
    <row r="28" spans="2:5" x14ac:dyDescent="0.6">
      <c r="B28" s="6" t="s">
        <v>285</v>
      </c>
      <c r="C28" s="82">
        <v>0.47699999999999998</v>
      </c>
      <c r="D28" s="82">
        <v>0.52300000000000002</v>
      </c>
      <c r="E28" s="80"/>
    </row>
    <row r="29" spans="2:5" x14ac:dyDescent="0.6">
      <c r="B29" s="6" t="s">
        <v>286</v>
      </c>
      <c r="C29" s="28">
        <f>C27*C28</f>
        <v>0.29617611428571428</v>
      </c>
      <c r="D29" s="28">
        <f>D27*D28</f>
        <v>0.38911386785714286</v>
      </c>
      <c r="E29" s="83">
        <f>SUM(C29:D29)</f>
        <v>0.68528998214285708</v>
      </c>
    </row>
    <row r="30" spans="2:5" x14ac:dyDescent="0.6">
      <c r="B30" s="6" t="s">
        <v>288</v>
      </c>
      <c r="C30" s="28"/>
      <c r="D30" s="28"/>
      <c r="E30" s="78">
        <f>E18/E29</f>
        <v>4335959.5102985073</v>
      </c>
    </row>
    <row r="31" spans="2:5" x14ac:dyDescent="0.6">
      <c r="B31" s="6" t="s">
        <v>296</v>
      </c>
      <c r="C31" s="78">
        <f>C21*Budgets!B17</f>
        <v>9000000</v>
      </c>
      <c r="D31" s="78">
        <f>D21*Budgets!B18</f>
        <v>12000000</v>
      </c>
      <c r="E31" s="78">
        <f>SUM(C31:D31)</f>
        <v>21000000</v>
      </c>
    </row>
    <row r="32" spans="2:5" x14ac:dyDescent="0.6">
      <c r="B32" s="6" t="s">
        <v>293</v>
      </c>
      <c r="C32" s="78"/>
      <c r="D32" s="78"/>
      <c r="E32" s="28">
        <f>E30/E31</f>
        <v>0.206474262395167</v>
      </c>
    </row>
    <row r="33" spans="1:5" x14ac:dyDescent="0.6">
      <c r="B33" s="6" t="s">
        <v>289</v>
      </c>
      <c r="C33" s="84">
        <f>$E$30*C28</f>
        <v>2068252.686412388</v>
      </c>
      <c r="D33" s="85"/>
      <c r="E33" s="86"/>
    </row>
    <row r="34" spans="1:5" x14ac:dyDescent="0.6">
      <c r="B34" s="6" t="s">
        <v>290</v>
      </c>
      <c r="C34" s="84">
        <f>$E$30*D28</f>
        <v>2267706.8238861193</v>
      </c>
      <c r="D34" s="87"/>
      <c r="E34" s="86"/>
    </row>
    <row r="35" spans="1:5" x14ac:dyDescent="0.6">
      <c r="C35" s="82"/>
      <c r="D35" s="88"/>
      <c r="E35" s="80"/>
    </row>
    <row r="36" spans="1:5" x14ac:dyDescent="0.6">
      <c r="B36" s="6" t="s">
        <v>291</v>
      </c>
      <c r="C36" s="84">
        <f>C33/C21</f>
        <v>1654602.1491299104</v>
      </c>
      <c r="D36" s="88"/>
      <c r="E36" s="80"/>
    </row>
    <row r="37" spans="1:5" x14ac:dyDescent="0.6">
      <c r="B37" s="6" t="s">
        <v>292</v>
      </c>
      <c r="C37" s="84">
        <f>C34/D21</f>
        <v>226770.68238861192</v>
      </c>
      <c r="D37" s="80"/>
      <c r="E37" s="80"/>
    </row>
    <row r="38" spans="1:5" x14ac:dyDescent="0.6">
      <c r="C38" s="28"/>
      <c r="D38" s="80"/>
      <c r="E38" s="80"/>
    </row>
    <row r="39" spans="1:5" x14ac:dyDescent="0.6">
      <c r="B39" s="6" t="s">
        <v>294</v>
      </c>
      <c r="C39" s="28">
        <f>C36/Budgets!B17</f>
        <v>0.22980585404582088</v>
      </c>
      <c r="D39" s="80"/>
      <c r="E39" s="80"/>
    </row>
    <row r="40" spans="1:5" x14ac:dyDescent="0.6">
      <c r="B40" s="6" t="s">
        <v>295</v>
      </c>
      <c r="C40" s="28">
        <f>C37/Budgets!B18</f>
        <v>0.1889755686571766</v>
      </c>
      <c r="D40" s="80"/>
      <c r="E40" s="80"/>
    </row>
    <row r="41" spans="1:5" x14ac:dyDescent="0.6">
      <c r="C41" s="28"/>
    </row>
    <row r="42" spans="1:5" ht="49" customHeight="1" x14ac:dyDescent="0.6">
      <c r="A42" s="136" t="s">
        <v>225</v>
      </c>
      <c r="B42" s="136"/>
      <c r="C42" s="136"/>
      <c r="D42" s="136"/>
      <c r="E42" s="136"/>
    </row>
    <row r="43" spans="1:5" ht="86.5" customHeight="1" x14ac:dyDescent="0.6">
      <c r="A43" s="136" t="s">
        <v>320</v>
      </c>
      <c r="B43" s="136"/>
      <c r="C43" s="136"/>
      <c r="D43" s="136"/>
      <c r="E43" s="136"/>
    </row>
  </sheetData>
  <mergeCells count="2">
    <mergeCell ref="A42:E42"/>
    <mergeCell ref="A43:E43"/>
  </mergeCells>
  <pageMargins left="0.7" right="0.7" top="0.75" bottom="0.75" header="0.3" footer="0.3"/>
  <pageSetup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80</v>
      </c>
    </row>
    <row r="3" spans="1:11" x14ac:dyDescent="0.35">
      <c r="C3" s="137" t="s">
        <v>81</v>
      </c>
      <c r="D3" s="137"/>
      <c r="E3" s="137"/>
      <c r="F3" s="137"/>
      <c r="G3" s="137"/>
      <c r="H3" s="137"/>
      <c r="I3" s="137"/>
      <c r="J3" s="137"/>
      <c r="K3" s="137"/>
    </row>
    <row r="4" spans="1:11" x14ac:dyDescent="0.35">
      <c r="C4">
        <v>1</v>
      </c>
      <c r="D4">
        <v>2</v>
      </c>
      <c r="E4">
        <v>3</v>
      </c>
      <c r="F4">
        <v>4</v>
      </c>
      <c r="G4">
        <v>5</v>
      </c>
      <c r="H4">
        <v>6</v>
      </c>
      <c r="I4">
        <v>7</v>
      </c>
      <c r="J4">
        <v>8</v>
      </c>
      <c r="K4">
        <v>9</v>
      </c>
    </row>
    <row r="5" spans="1:11" x14ac:dyDescent="0.35">
      <c r="A5" t="s">
        <v>82</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83</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84</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sheetPr>
    <pageSetUpPr fitToPage="1"/>
  </sheetPr>
  <dimension ref="A1:G39"/>
  <sheetViews>
    <sheetView topLeftCell="A26" workbookViewId="0">
      <selection activeCell="E36" sqref="E36"/>
    </sheetView>
  </sheetViews>
  <sheetFormatPr defaultRowHeight="17" x14ac:dyDescent="0.6"/>
  <cols>
    <col min="1" max="1" width="4.54296875" style="6" bestFit="1" customWidth="1"/>
    <col min="2" max="2" width="7.36328125" style="6" bestFit="1" customWidth="1"/>
    <col min="3" max="3" width="17.81640625" style="6" bestFit="1" customWidth="1"/>
    <col min="4" max="4" width="17.36328125" style="6" bestFit="1" customWidth="1"/>
    <col min="5" max="5" width="7.26953125" style="6" bestFit="1" customWidth="1"/>
    <col min="6" max="16384" width="8.7265625" style="6"/>
  </cols>
  <sheetData>
    <row r="1" spans="1:7" x14ac:dyDescent="0.6">
      <c r="A1" s="5" t="s">
        <v>90</v>
      </c>
    </row>
    <row r="3" spans="1:7" x14ac:dyDescent="0.6">
      <c r="A3" s="64" t="s">
        <v>91</v>
      </c>
    </row>
    <row r="4" spans="1:7" x14ac:dyDescent="0.6">
      <c r="A4" s="6" t="s">
        <v>92</v>
      </c>
      <c r="D4" s="29">
        <f>'Ann 2'!C6</f>
        <v>49.059999999999995</v>
      </c>
    </row>
    <row r="5" spans="1:7" x14ac:dyDescent="0.6">
      <c r="A5" s="6" t="s">
        <v>317</v>
      </c>
      <c r="D5" s="29">
        <f>20%*('Ann 2'!C8-'Ann 2'!C7)</f>
        <v>11.002000000000001</v>
      </c>
    </row>
    <row r="6" spans="1:7" x14ac:dyDescent="0.6">
      <c r="A6" s="6" t="s">
        <v>93</v>
      </c>
      <c r="D6" s="89">
        <v>0.06</v>
      </c>
    </row>
    <row r="7" spans="1:7" x14ac:dyDescent="0.6">
      <c r="A7" s="6" t="s">
        <v>94</v>
      </c>
      <c r="D7" s="90" t="s">
        <v>155</v>
      </c>
    </row>
    <row r="9" spans="1:7" x14ac:dyDescent="0.6">
      <c r="A9" s="120" t="s">
        <v>69</v>
      </c>
      <c r="B9" s="120" t="s">
        <v>95</v>
      </c>
      <c r="C9" s="120" t="s">
        <v>96</v>
      </c>
      <c r="D9" s="120" t="s">
        <v>98</v>
      </c>
      <c r="E9" s="120" t="s">
        <v>97</v>
      </c>
    </row>
    <row r="10" spans="1:7" x14ac:dyDescent="0.6">
      <c r="A10" s="138">
        <v>1</v>
      </c>
      <c r="B10" s="8">
        <v>1</v>
      </c>
      <c r="C10" s="69">
        <f>$D$4</f>
        <v>49.059999999999995</v>
      </c>
      <c r="D10" s="8">
        <v>0</v>
      </c>
      <c r="E10" s="8">
        <f>C10*$D$6/4</f>
        <v>0.73589999999999989</v>
      </c>
    </row>
    <row r="11" spans="1:7" x14ac:dyDescent="0.6">
      <c r="A11" s="138"/>
      <c r="B11" s="8">
        <v>2</v>
      </c>
      <c r="C11" s="69">
        <f>$D$4</f>
        <v>49.059999999999995</v>
      </c>
      <c r="D11" s="8">
        <v>0</v>
      </c>
      <c r="E11" s="8">
        <f t="shared" ref="E11:E37" si="0">C11*$D$6/4</f>
        <v>0.73589999999999989</v>
      </c>
      <c r="G11" s="91"/>
    </row>
    <row r="12" spans="1:7" x14ac:dyDescent="0.6">
      <c r="A12" s="138"/>
      <c r="B12" s="8">
        <v>3</v>
      </c>
      <c r="C12" s="69">
        <f>$D$4</f>
        <v>49.059999999999995</v>
      </c>
      <c r="D12" s="8">
        <f>D4/26</f>
        <v>1.8869230769230767</v>
      </c>
      <c r="E12" s="8">
        <f t="shared" si="0"/>
        <v>0.73589999999999989</v>
      </c>
    </row>
    <row r="13" spans="1:7" x14ac:dyDescent="0.6">
      <c r="A13" s="138"/>
      <c r="B13" s="8">
        <v>4</v>
      </c>
      <c r="C13" s="8">
        <f t="shared" ref="C13:C18" si="1">C12-D12</f>
        <v>47.17307692307692</v>
      </c>
      <c r="D13" s="8">
        <f>D12</f>
        <v>1.8869230769230767</v>
      </c>
      <c r="E13" s="8">
        <f t="shared" si="0"/>
        <v>0.70759615384615382</v>
      </c>
    </row>
    <row r="14" spans="1:7" x14ac:dyDescent="0.6">
      <c r="A14" s="138">
        <v>2</v>
      </c>
      <c r="B14" s="8">
        <v>1</v>
      </c>
      <c r="C14" s="8">
        <f t="shared" si="1"/>
        <v>45.286153846153844</v>
      </c>
      <c r="D14" s="8">
        <f t="shared" ref="D14:D36" si="2">D13</f>
        <v>1.8869230769230767</v>
      </c>
      <c r="E14" s="8">
        <f t="shared" si="0"/>
        <v>0.67929230769230764</v>
      </c>
    </row>
    <row r="15" spans="1:7" x14ac:dyDescent="0.6">
      <c r="A15" s="138"/>
      <c r="B15" s="8">
        <v>2</v>
      </c>
      <c r="C15" s="8">
        <f t="shared" si="1"/>
        <v>43.399230769230769</v>
      </c>
      <c r="D15" s="8">
        <f t="shared" si="2"/>
        <v>1.8869230769230767</v>
      </c>
      <c r="E15" s="8">
        <f t="shared" si="0"/>
        <v>0.65098846153846146</v>
      </c>
    </row>
    <row r="16" spans="1:7" x14ac:dyDescent="0.6">
      <c r="A16" s="138"/>
      <c r="B16" s="8">
        <v>3</v>
      </c>
      <c r="C16" s="8">
        <f t="shared" si="1"/>
        <v>41.512307692307694</v>
      </c>
      <c r="D16" s="8">
        <f t="shared" si="2"/>
        <v>1.8869230769230767</v>
      </c>
      <c r="E16" s="8">
        <f t="shared" si="0"/>
        <v>0.62268461538461539</v>
      </c>
    </row>
    <row r="17" spans="1:6" x14ac:dyDescent="0.6">
      <c r="A17" s="138"/>
      <c r="B17" s="8">
        <v>4</v>
      </c>
      <c r="C17" s="8">
        <f t="shared" si="1"/>
        <v>39.625384615384618</v>
      </c>
      <c r="D17" s="8">
        <f t="shared" si="2"/>
        <v>1.8869230769230767</v>
      </c>
      <c r="E17" s="8">
        <f t="shared" si="0"/>
        <v>0.59438076923076921</v>
      </c>
    </row>
    <row r="18" spans="1:6" x14ac:dyDescent="0.6">
      <c r="A18" s="138">
        <v>3</v>
      </c>
      <c r="B18" s="8">
        <v>1</v>
      </c>
      <c r="C18" s="8">
        <f t="shared" si="1"/>
        <v>37.738461538461543</v>
      </c>
      <c r="D18" s="8">
        <f t="shared" si="2"/>
        <v>1.8869230769230767</v>
      </c>
      <c r="E18" s="8">
        <f t="shared" si="0"/>
        <v>0.56607692307692314</v>
      </c>
    </row>
    <row r="19" spans="1:6" x14ac:dyDescent="0.6">
      <c r="A19" s="138"/>
      <c r="B19" s="8">
        <v>2</v>
      </c>
      <c r="C19" s="8">
        <f t="shared" ref="C19:C37" si="3">C18-D18</f>
        <v>35.851538461538468</v>
      </c>
      <c r="D19" s="8">
        <f t="shared" si="2"/>
        <v>1.8869230769230767</v>
      </c>
      <c r="E19" s="8">
        <f t="shared" si="0"/>
        <v>0.53777307692307696</v>
      </c>
    </row>
    <row r="20" spans="1:6" x14ac:dyDescent="0.6">
      <c r="A20" s="138"/>
      <c r="B20" s="8">
        <v>3</v>
      </c>
      <c r="C20" s="8">
        <f t="shared" si="3"/>
        <v>33.964615384615392</v>
      </c>
      <c r="D20" s="8">
        <f t="shared" si="2"/>
        <v>1.8869230769230767</v>
      </c>
      <c r="E20" s="8">
        <f t="shared" si="0"/>
        <v>0.5094692307692309</v>
      </c>
    </row>
    <row r="21" spans="1:6" x14ac:dyDescent="0.6">
      <c r="A21" s="138"/>
      <c r="B21" s="8">
        <v>4</v>
      </c>
      <c r="C21" s="8">
        <f t="shared" si="3"/>
        <v>32.077692307692317</v>
      </c>
      <c r="D21" s="8">
        <f t="shared" si="2"/>
        <v>1.8869230769230767</v>
      </c>
      <c r="E21" s="8">
        <f t="shared" si="0"/>
        <v>0.48116538461538472</v>
      </c>
    </row>
    <row r="22" spans="1:6" x14ac:dyDescent="0.6">
      <c r="A22" s="138">
        <v>4</v>
      </c>
      <c r="B22" s="8">
        <v>1</v>
      </c>
      <c r="C22" s="8">
        <f t="shared" si="3"/>
        <v>30.190769230769241</v>
      </c>
      <c r="D22" s="8">
        <f t="shared" si="2"/>
        <v>1.8869230769230767</v>
      </c>
      <c r="E22" s="8">
        <f t="shared" si="0"/>
        <v>0.45286153846153859</v>
      </c>
    </row>
    <row r="23" spans="1:6" x14ac:dyDescent="0.6">
      <c r="A23" s="138"/>
      <c r="B23" s="8">
        <v>2</v>
      </c>
      <c r="C23" s="8">
        <f t="shared" si="3"/>
        <v>28.303846153846166</v>
      </c>
      <c r="D23" s="8">
        <f t="shared" si="2"/>
        <v>1.8869230769230767</v>
      </c>
      <c r="E23" s="8">
        <f t="shared" si="0"/>
        <v>0.42455769230769247</v>
      </c>
    </row>
    <row r="24" spans="1:6" x14ac:dyDescent="0.6">
      <c r="A24" s="138"/>
      <c r="B24" s="8">
        <v>3</v>
      </c>
      <c r="C24" s="8">
        <f t="shared" si="3"/>
        <v>26.416923076923091</v>
      </c>
      <c r="D24" s="8">
        <f t="shared" si="2"/>
        <v>1.8869230769230767</v>
      </c>
      <c r="E24" s="8">
        <f t="shared" si="0"/>
        <v>0.39625384615384635</v>
      </c>
    </row>
    <row r="25" spans="1:6" x14ac:dyDescent="0.6">
      <c r="A25" s="138"/>
      <c r="B25" s="8">
        <v>4</v>
      </c>
      <c r="C25" s="8">
        <f t="shared" si="3"/>
        <v>24.530000000000015</v>
      </c>
      <c r="D25" s="8">
        <f t="shared" si="2"/>
        <v>1.8869230769230767</v>
      </c>
      <c r="E25" s="8">
        <f t="shared" si="0"/>
        <v>0.36795000000000022</v>
      </c>
    </row>
    <row r="26" spans="1:6" x14ac:dyDescent="0.6">
      <c r="A26" s="138">
        <v>5</v>
      </c>
      <c r="B26" s="8">
        <v>1</v>
      </c>
      <c r="C26" s="8">
        <f t="shared" si="3"/>
        <v>22.64307692307694</v>
      </c>
      <c r="D26" s="8">
        <f t="shared" si="2"/>
        <v>1.8869230769230767</v>
      </c>
      <c r="E26" s="8">
        <f t="shared" si="0"/>
        <v>0.3396461538461541</v>
      </c>
    </row>
    <row r="27" spans="1:6" x14ac:dyDescent="0.6">
      <c r="A27" s="138"/>
      <c r="B27" s="8">
        <v>2</v>
      </c>
      <c r="C27" s="8">
        <f t="shared" si="3"/>
        <v>20.756153846153865</v>
      </c>
      <c r="D27" s="8">
        <f t="shared" si="2"/>
        <v>1.8869230769230767</v>
      </c>
      <c r="E27" s="8">
        <f t="shared" si="0"/>
        <v>0.31134230769230797</v>
      </c>
    </row>
    <row r="28" spans="1:6" x14ac:dyDescent="0.6">
      <c r="A28" s="138"/>
      <c r="B28" s="8">
        <v>3</v>
      </c>
      <c r="C28" s="8">
        <f t="shared" si="3"/>
        <v>18.869230769230789</v>
      </c>
      <c r="D28" s="8">
        <f t="shared" si="2"/>
        <v>1.8869230769230767</v>
      </c>
      <c r="E28" s="8">
        <f t="shared" si="0"/>
        <v>0.28303846153846185</v>
      </c>
    </row>
    <row r="29" spans="1:6" x14ac:dyDescent="0.6">
      <c r="A29" s="138"/>
      <c r="B29" s="8">
        <v>4</v>
      </c>
      <c r="C29" s="8">
        <f t="shared" si="3"/>
        <v>16.982307692307714</v>
      </c>
      <c r="D29" s="8">
        <f t="shared" si="2"/>
        <v>1.8869230769230767</v>
      </c>
      <c r="E29" s="8">
        <f t="shared" si="0"/>
        <v>0.25473461538461573</v>
      </c>
    </row>
    <row r="30" spans="1:6" x14ac:dyDescent="0.6">
      <c r="A30" s="138">
        <v>6</v>
      </c>
      <c r="B30" s="8">
        <v>1</v>
      </c>
      <c r="C30" s="8">
        <f t="shared" si="3"/>
        <v>15.095384615384637</v>
      </c>
      <c r="D30" s="8">
        <f t="shared" si="2"/>
        <v>1.8869230769230767</v>
      </c>
      <c r="E30" s="8">
        <f t="shared" si="0"/>
        <v>0.22643076923076955</v>
      </c>
    </row>
    <row r="31" spans="1:6" x14ac:dyDescent="0.6">
      <c r="A31" s="138"/>
      <c r="B31" s="8">
        <v>2</v>
      </c>
      <c r="C31" s="8">
        <f t="shared" si="3"/>
        <v>13.20846153846156</v>
      </c>
      <c r="D31" s="8">
        <f t="shared" si="2"/>
        <v>1.8869230769230767</v>
      </c>
      <c r="E31" s="8">
        <f t="shared" si="0"/>
        <v>0.19812692307692339</v>
      </c>
    </row>
    <row r="32" spans="1:6" x14ac:dyDescent="0.6">
      <c r="A32" s="138"/>
      <c r="B32" s="8">
        <v>3</v>
      </c>
      <c r="C32" s="8">
        <f t="shared" si="3"/>
        <v>11.321538461538482</v>
      </c>
      <c r="D32" s="69">
        <f>C32-D5</f>
        <v>0.31953846153848176</v>
      </c>
      <c r="E32" s="8">
        <f t="shared" si="0"/>
        <v>0.16982307692307724</v>
      </c>
      <c r="F32" s="6" t="s">
        <v>318</v>
      </c>
    </row>
    <row r="33" spans="1:5" x14ac:dyDescent="0.6">
      <c r="A33" s="138"/>
      <c r="B33" s="8">
        <v>4</v>
      </c>
      <c r="C33" s="8">
        <v>0</v>
      </c>
      <c r="D33" s="69">
        <v>0</v>
      </c>
      <c r="E33" s="8">
        <v>0</v>
      </c>
    </row>
    <row r="34" spans="1:5" x14ac:dyDescent="0.6">
      <c r="A34" s="138">
        <v>7</v>
      </c>
      <c r="B34" s="8">
        <v>1</v>
      </c>
      <c r="C34" s="8">
        <v>0</v>
      </c>
      <c r="D34" s="8">
        <v>0</v>
      </c>
      <c r="E34" s="8">
        <v>0</v>
      </c>
    </row>
    <row r="35" spans="1:5" x14ac:dyDescent="0.6">
      <c r="A35" s="138"/>
      <c r="B35" s="8">
        <v>2</v>
      </c>
      <c r="C35" s="8">
        <f t="shared" si="3"/>
        <v>0</v>
      </c>
      <c r="D35" s="8">
        <f t="shared" si="2"/>
        <v>0</v>
      </c>
      <c r="E35" s="8">
        <f t="shared" si="0"/>
        <v>0</v>
      </c>
    </row>
    <row r="36" spans="1:5" x14ac:dyDescent="0.6">
      <c r="A36" s="138"/>
      <c r="B36" s="8">
        <v>3</v>
      </c>
      <c r="C36" s="8">
        <f t="shared" si="3"/>
        <v>0</v>
      </c>
      <c r="D36" s="8">
        <f t="shared" si="2"/>
        <v>0</v>
      </c>
      <c r="E36" s="8">
        <f t="shared" si="0"/>
        <v>0</v>
      </c>
    </row>
    <row r="37" spans="1:5" x14ac:dyDescent="0.6">
      <c r="A37" s="138"/>
      <c r="B37" s="8">
        <v>4</v>
      </c>
      <c r="C37" s="8">
        <f t="shared" si="3"/>
        <v>0</v>
      </c>
      <c r="D37" s="69">
        <v>0</v>
      </c>
      <c r="E37" s="8">
        <f t="shared" si="0"/>
        <v>0</v>
      </c>
    </row>
    <row r="39" spans="1:5" ht="51" customHeight="1" x14ac:dyDescent="0.6">
      <c r="A39" s="136" t="s">
        <v>316</v>
      </c>
      <c r="B39" s="136"/>
      <c r="C39" s="136"/>
      <c r="D39" s="136"/>
      <c r="E39" s="136"/>
    </row>
  </sheetData>
  <mergeCells count="8">
    <mergeCell ref="A39:E39"/>
    <mergeCell ref="A34:A37"/>
    <mergeCell ref="A10:A13"/>
    <mergeCell ref="A14:A17"/>
    <mergeCell ref="A18:A21"/>
    <mergeCell ref="A22:A25"/>
    <mergeCell ref="A26:A29"/>
    <mergeCell ref="A30:A33"/>
  </mergeCells>
  <pageMargins left="0.7" right="0.7" top="0.75" bottom="0.75" header="0.3" footer="0.3"/>
  <pageSetup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J20"/>
  <sheetViews>
    <sheetView topLeftCell="A3" workbookViewId="0">
      <selection activeCell="B13" sqref="B13"/>
    </sheetView>
  </sheetViews>
  <sheetFormatPr defaultRowHeight="17" x14ac:dyDescent="0.6"/>
  <cols>
    <col min="1" max="1" width="35.6328125" style="6" bestFit="1" customWidth="1"/>
    <col min="2" max="2" width="17.08984375" style="6" bestFit="1" customWidth="1"/>
    <col min="3" max="3" width="14.54296875" style="6" bestFit="1" customWidth="1"/>
    <col min="4" max="4" width="15.26953125" style="6" bestFit="1" customWidth="1"/>
    <col min="5" max="10" width="14.54296875" style="6" bestFit="1" customWidth="1"/>
    <col min="11" max="11" width="12.54296875" style="6" bestFit="1" customWidth="1"/>
    <col min="12" max="16384" width="8.7265625" style="6"/>
  </cols>
  <sheetData>
    <row r="1" spans="1:10" x14ac:dyDescent="0.6">
      <c r="A1" s="5" t="s">
        <v>166</v>
      </c>
    </row>
    <row r="2" spans="1:10" x14ac:dyDescent="0.6">
      <c r="A2" s="139" t="s">
        <v>3</v>
      </c>
      <c r="B2" s="134" t="s">
        <v>48</v>
      </c>
      <c r="C2" s="134"/>
      <c r="D2" s="134"/>
      <c r="E2" s="134"/>
      <c r="F2" s="134"/>
      <c r="G2" s="134"/>
      <c r="H2" s="134"/>
      <c r="I2" s="134"/>
      <c r="J2" s="134"/>
    </row>
    <row r="3" spans="1:10" x14ac:dyDescent="0.6">
      <c r="A3" s="140"/>
      <c r="B3" s="108" t="s">
        <v>39</v>
      </c>
      <c r="C3" s="108" t="s">
        <v>40</v>
      </c>
      <c r="D3" s="108" t="s">
        <v>41</v>
      </c>
      <c r="E3" s="108" t="s">
        <v>42</v>
      </c>
      <c r="F3" s="108" t="s">
        <v>43</v>
      </c>
      <c r="G3" s="108" t="s">
        <v>44</v>
      </c>
      <c r="H3" s="108" t="s">
        <v>45</v>
      </c>
      <c r="I3" s="108" t="s">
        <v>46</v>
      </c>
      <c r="J3" s="108" t="s">
        <v>47</v>
      </c>
    </row>
    <row r="4" spans="1:10" x14ac:dyDescent="0.6">
      <c r="A4" s="8" t="s">
        <v>247</v>
      </c>
      <c r="B4" s="71">
        <v>0.7</v>
      </c>
      <c r="C4" s="71">
        <v>0.75</v>
      </c>
      <c r="D4" s="71">
        <v>0.8</v>
      </c>
      <c r="E4" s="71">
        <v>0.85</v>
      </c>
      <c r="F4" s="71">
        <v>0.9</v>
      </c>
      <c r="G4" s="71">
        <v>0.95</v>
      </c>
      <c r="H4" s="71">
        <v>1</v>
      </c>
      <c r="I4" s="71">
        <v>1</v>
      </c>
      <c r="J4" s="71">
        <v>1</v>
      </c>
    </row>
    <row r="5" spans="1:10" x14ac:dyDescent="0.6">
      <c r="A5" s="8" t="s">
        <v>269</v>
      </c>
      <c r="B5" s="49">
        <f>$B$12*B4</f>
        <v>5040000</v>
      </c>
      <c r="C5" s="49">
        <f t="shared" ref="C5:J5" si="0">$B$12*C4</f>
        <v>5400000</v>
      </c>
      <c r="D5" s="49">
        <f t="shared" si="0"/>
        <v>5760000</v>
      </c>
      <c r="E5" s="49">
        <f t="shared" si="0"/>
        <v>6120000</v>
      </c>
      <c r="F5" s="49">
        <f t="shared" si="0"/>
        <v>6480000</v>
      </c>
      <c r="G5" s="49">
        <f t="shared" si="0"/>
        <v>6840000</v>
      </c>
      <c r="H5" s="49">
        <f t="shared" si="0"/>
        <v>7200000</v>
      </c>
      <c r="I5" s="49">
        <f t="shared" si="0"/>
        <v>7200000</v>
      </c>
      <c r="J5" s="49">
        <f t="shared" si="0"/>
        <v>7200000</v>
      </c>
    </row>
    <row r="6" spans="1:10" x14ac:dyDescent="0.6">
      <c r="A6" s="8" t="s">
        <v>270</v>
      </c>
      <c r="B6" s="49">
        <f>$B$13*B4</f>
        <v>840000</v>
      </c>
      <c r="C6" s="49">
        <f t="shared" ref="C6:J6" si="1">$B$13*C4</f>
        <v>900000</v>
      </c>
      <c r="D6" s="49">
        <f t="shared" si="1"/>
        <v>960000</v>
      </c>
      <c r="E6" s="49">
        <f t="shared" si="1"/>
        <v>1020000</v>
      </c>
      <c r="F6" s="49">
        <f t="shared" si="1"/>
        <v>1080000</v>
      </c>
      <c r="G6" s="49">
        <f t="shared" si="1"/>
        <v>1140000</v>
      </c>
      <c r="H6" s="49">
        <f t="shared" si="1"/>
        <v>1200000</v>
      </c>
      <c r="I6" s="49">
        <f t="shared" si="1"/>
        <v>1200000</v>
      </c>
      <c r="J6" s="49">
        <f t="shared" si="1"/>
        <v>1200000</v>
      </c>
    </row>
    <row r="7" spans="1:10" x14ac:dyDescent="0.6">
      <c r="A7" s="8" t="s">
        <v>271</v>
      </c>
      <c r="B7" s="49">
        <f>B5*$C$17</f>
        <v>6300000</v>
      </c>
      <c r="C7" s="49">
        <f>C5*$C$17*1.1</f>
        <v>7425000.0000000009</v>
      </c>
      <c r="D7" s="49">
        <f t="shared" ref="D7:J7" si="2">D5*$C$17*1.1</f>
        <v>7920000.0000000009</v>
      </c>
      <c r="E7" s="49">
        <f t="shared" si="2"/>
        <v>8415000</v>
      </c>
      <c r="F7" s="49">
        <f t="shared" si="2"/>
        <v>8910000</v>
      </c>
      <c r="G7" s="49">
        <f t="shared" si="2"/>
        <v>9405000</v>
      </c>
      <c r="H7" s="49">
        <f t="shared" si="2"/>
        <v>9900000</v>
      </c>
      <c r="I7" s="49">
        <f t="shared" si="2"/>
        <v>9900000</v>
      </c>
      <c r="J7" s="49">
        <f t="shared" si="2"/>
        <v>9900000</v>
      </c>
    </row>
    <row r="8" spans="1:10" x14ac:dyDescent="0.6">
      <c r="A8" s="8" t="s">
        <v>272</v>
      </c>
      <c r="B8" s="77">
        <f>B6*$C$18</f>
        <v>8400000</v>
      </c>
      <c r="C8" s="77">
        <f>C6*$C$18*1.05</f>
        <v>9450000</v>
      </c>
      <c r="D8" s="77">
        <f t="shared" ref="D8:J8" si="3">D6*$C$18*1.05</f>
        <v>10080000</v>
      </c>
      <c r="E8" s="77">
        <f t="shared" si="3"/>
        <v>10710000</v>
      </c>
      <c r="F8" s="77">
        <f t="shared" si="3"/>
        <v>11340000</v>
      </c>
      <c r="G8" s="77">
        <f t="shared" si="3"/>
        <v>11970000</v>
      </c>
      <c r="H8" s="77">
        <f t="shared" si="3"/>
        <v>12600000</v>
      </c>
      <c r="I8" s="77">
        <f t="shared" si="3"/>
        <v>12600000</v>
      </c>
      <c r="J8" s="77">
        <f t="shared" si="3"/>
        <v>12600000</v>
      </c>
    </row>
    <row r="9" spans="1:10" x14ac:dyDescent="0.6">
      <c r="B9" s="29"/>
      <c r="C9" s="29"/>
      <c r="D9" s="29"/>
      <c r="E9" s="29"/>
      <c r="F9" s="29"/>
      <c r="G9" s="29"/>
      <c r="H9" s="29"/>
      <c r="I9" s="29"/>
      <c r="J9" s="29"/>
    </row>
    <row r="10" spans="1:10" x14ac:dyDescent="0.6">
      <c r="A10" s="5" t="s">
        <v>167</v>
      </c>
    </row>
    <row r="12" spans="1:10" x14ac:dyDescent="0.6">
      <c r="A12" s="6" t="s">
        <v>263</v>
      </c>
      <c r="B12" s="78">
        <f>3000*8*300</f>
        <v>7200000</v>
      </c>
      <c r="C12" s="6" t="s">
        <v>268</v>
      </c>
    </row>
    <row r="13" spans="1:10" x14ac:dyDescent="0.6">
      <c r="A13" s="6" t="s">
        <v>264</v>
      </c>
      <c r="B13" s="78">
        <f>100000*12</f>
        <v>1200000</v>
      </c>
      <c r="C13" s="6" t="s">
        <v>268</v>
      </c>
    </row>
    <row r="14" spans="1:10" x14ac:dyDescent="0.6">
      <c r="A14" s="6" t="s">
        <v>248</v>
      </c>
      <c r="B14" s="78" t="s">
        <v>249</v>
      </c>
    </row>
    <row r="16" spans="1:10" s="99" customFormat="1" ht="34" x14ac:dyDescent="0.35">
      <c r="A16" s="97" t="s">
        <v>168</v>
      </c>
      <c r="B16" s="98" t="s">
        <v>169</v>
      </c>
      <c r="C16" s="98" t="s">
        <v>267</v>
      </c>
      <c r="D16" s="97" t="s">
        <v>275</v>
      </c>
    </row>
    <row r="17" spans="1:4" s="94" customFormat="1" x14ac:dyDescent="0.35">
      <c r="A17" s="92" t="s">
        <v>265</v>
      </c>
      <c r="B17" s="95">
        <f>B12</f>
        <v>7200000</v>
      </c>
      <c r="C17" s="96">
        <v>1.25</v>
      </c>
      <c r="D17" s="93" t="s">
        <v>274</v>
      </c>
    </row>
    <row r="18" spans="1:4" x14ac:dyDescent="0.6">
      <c r="A18" s="8" t="s">
        <v>266</v>
      </c>
      <c r="B18" s="95">
        <f>B13</f>
        <v>1200000</v>
      </c>
      <c r="C18" s="8">
        <v>10</v>
      </c>
      <c r="D18" s="8" t="s">
        <v>273</v>
      </c>
    </row>
    <row r="20" spans="1:4" x14ac:dyDescent="0.6">
      <c r="A20" s="6" t="s">
        <v>277</v>
      </c>
    </row>
  </sheetData>
  <mergeCells count="2">
    <mergeCell ref="B2:J2"/>
    <mergeCell ref="A2:A3"/>
  </mergeCells>
  <pageMargins left="0.7" right="0.7" top="0.75" bottom="0.75" header="0.3" footer="0.3"/>
  <pageSetup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1"/>
  <sheetViews>
    <sheetView topLeftCell="A13" workbookViewId="0">
      <selection activeCell="B28" sqref="B28"/>
    </sheetView>
  </sheetViews>
  <sheetFormatPr defaultRowHeight="17" x14ac:dyDescent="0.6"/>
  <cols>
    <col min="1" max="1" width="41.1796875" style="91" bestFit="1" customWidth="1"/>
    <col min="2" max="2" width="14.7265625" style="91" customWidth="1"/>
    <col min="3" max="11" width="14.7265625" style="91" bestFit="1" customWidth="1"/>
    <col min="12" max="12" width="13.6328125" style="91" bestFit="1" customWidth="1"/>
    <col min="13" max="16384" width="8.7265625" style="91"/>
  </cols>
  <sheetData>
    <row r="1" spans="1:11" x14ac:dyDescent="0.6">
      <c r="A1" s="100" t="s">
        <v>176</v>
      </c>
      <c r="B1" s="100"/>
    </row>
    <row r="2" spans="1:11" x14ac:dyDescent="0.6">
      <c r="A2" s="100"/>
      <c r="B2" s="100"/>
    </row>
    <row r="3" spans="1:11" x14ac:dyDescent="0.6">
      <c r="A3" s="121" t="s">
        <v>3</v>
      </c>
      <c r="B3" s="121">
        <v>0</v>
      </c>
      <c r="C3" s="121" t="s">
        <v>39</v>
      </c>
      <c r="D3" s="121" t="s">
        <v>40</v>
      </c>
      <c r="E3" s="121" t="s">
        <v>41</v>
      </c>
      <c r="F3" s="121" t="s">
        <v>42</v>
      </c>
      <c r="G3" s="121" t="s">
        <v>43</v>
      </c>
      <c r="H3" s="121" t="s">
        <v>44</v>
      </c>
      <c r="I3" s="121" t="s">
        <v>45</v>
      </c>
      <c r="J3" s="121" t="s">
        <v>46</v>
      </c>
      <c r="K3" s="121" t="s">
        <v>47</v>
      </c>
    </row>
    <row r="4" spans="1:11" x14ac:dyDescent="0.6">
      <c r="A4" s="101" t="s">
        <v>160</v>
      </c>
      <c r="B4" s="102">
        <f>'Ann 2'!C7*100000</f>
        <v>449000</v>
      </c>
      <c r="C4" s="102">
        <f>B20</f>
        <v>2198999.9999999991</v>
      </c>
      <c r="D4" s="102">
        <f>C20</f>
        <v>2999634.8384615383</v>
      </c>
      <c r="E4" s="102">
        <f t="shared" ref="E4:K4" si="0">D20</f>
        <v>3921279.9335384588</v>
      </c>
      <c r="F4" s="102">
        <f t="shared" si="0"/>
        <v>4948160.3221938433</v>
      </c>
      <c r="G4" s="102">
        <f t="shared" si="0"/>
        <v>6035180.0311704893</v>
      </c>
      <c r="H4" s="102">
        <f t="shared" si="0"/>
        <v>7188364.1141081918</v>
      </c>
      <c r="I4" s="102">
        <f t="shared" si="0"/>
        <v>7879798.7429643227</v>
      </c>
      <c r="J4" s="102">
        <f t="shared" si="0"/>
        <v>9937513.5992571786</v>
      </c>
      <c r="K4" s="102">
        <f t="shared" si="0"/>
        <v>12006692.241692001</v>
      </c>
    </row>
    <row r="5" spans="1:11" x14ac:dyDescent="0.6">
      <c r="A5" s="101" t="s">
        <v>199</v>
      </c>
      <c r="B5" s="102">
        <f>'Ann 5'!C17</f>
        <v>595000</v>
      </c>
      <c r="C5" s="102">
        <v>0</v>
      </c>
      <c r="D5" s="102">
        <v>0</v>
      </c>
      <c r="E5" s="102">
        <v>0</v>
      </c>
      <c r="F5" s="102">
        <v>0</v>
      </c>
      <c r="G5" s="102">
        <v>0</v>
      </c>
      <c r="H5" s="102">
        <v>0</v>
      </c>
      <c r="I5" s="102">
        <v>0</v>
      </c>
      <c r="J5" s="102">
        <v>0</v>
      </c>
      <c r="K5" s="102">
        <v>0</v>
      </c>
    </row>
    <row r="6" spans="1:11" x14ac:dyDescent="0.6">
      <c r="A6" s="101" t="s">
        <v>200</v>
      </c>
      <c r="B6" s="102">
        <f>'Ann 13'!D4*100000</f>
        <v>4905999.9999999991</v>
      </c>
      <c r="C6" s="102">
        <v>0</v>
      </c>
      <c r="D6" s="102">
        <v>0</v>
      </c>
      <c r="E6" s="102">
        <v>0</v>
      </c>
      <c r="F6" s="102">
        <v>0</v>
      </c>
      <c r="G6" s="102">
        <v>0</v>
      </c>
      <c r="H6" s="102">
        <v>0</v>
      </c>
      <c r="I6" s="102">
        <v>0</v>
      </c>
      <c r="J6" s="102">
        <v>0</v>
      </c>
      <c r="K6" s="102">
        <v>0</v>
      </c>
    </row>
    <row r="7" spans="1:11" x14ac:dyDescent="0.6">
      <c r="A7" s="101" t="s">
        <v>201</v>
      </c>
      <c r="B7" s="102">
        <f>'Ann 9'!F6*100000</f>
        <v>3700000</v>
      </c>
      <c r="C7" s="102">
        <v>0</v>
      </c>
      <c r="D7" s="102">
        <v>0</v>
      </c>
      <c r="E7" s="102">
        <v>0</v>
      </c>
      <c r="F7" s="102">
        <v>0</v>
      </c>
      <c r="G7" s="102">
        <v>0</v>
      </c>
      <c r="H7" s="102">
        <v>0</v>
      </c>
      <c r="I7" s="102">
        <v>0</v>
      </c>
      <c r="J7" s="102">
        <v>0</v>
      </c>
      <c r="K7" s="102">
        <v>0</v>
      </c>
    </row>
    <row r="8" spans="1:11" x14ac:dyDescent="0.6">
      <c r="A8" s="101" t="s">
        <v>161</v>
      </c>
      <c r="B8" s="102">
        <v>0</v>
      </c>
      <c r="C8" s="102">
        <f>'Ann 4'!C19-'Ann 5'!C12</f>
        <v>13475000</v>
      </c>
      <c r="D8" s="102">
        <f>'Ann 4'!D19-'Ann 5'!D12</f>
        <v>15468750</v>
      </c>
      <c r="E8" s="102">
        <f>'Ann 4'!E19-'Ann 5'!E12</f>
        <v>16500000</v>
      </c>
      <c r="F8" s="102">
        <f>'Ann 4'!F19-'Ann 5'!F12</f>
        <v>17531250</v>
      </c>
      <c r="G8" s="102">
        <f>'Ann 4'!G19-'Ann 5'!G12</f>
        <v>18562500</v>
      </c>
      <c r="H8" s="102">
        <f>'Ann 4'!H19-'Ann 5'!H12</f>
        <v>19593750</v>
      </c>
      <c r="I8" s="102">
        <f>'Ann 4'!I19-'Ann 5'!I12</f>
        <v>20625000</v>
      </c>
      <c r="J8" s="102">
        <f>'Ann 4'!J19-'Ann 5'!J12</f>
        <v>20625000</v>
      </c>
      <c r="K8" s="102">
        <f>'Ann 4'!K19-'Ann 5'!K12</f>
        <v>20625000</v>
      </c>
    </row>
    <row r="9" spans="1:11" x14ac:dyDescent="0.6">
      <c r="A9" s="101" t="s">
        <v>177</v>
      </c>
      <c r="B9" s="102">
        <v>0</v>
      </c>
      <c r="C9" s="102">
        <v>0</v>
      </c>
      <c r="D9" s="102">
        <f>'Ann 5'!C23</f>
        <v>709560</v>
      </c>
      <c r="E9" s="102">
        <f>'Ann 5'!D23</f>
        <v>797429.2</v>
      </c>
      <c r="F9" s="102">
        <f>'Ann 5'!E23</f>
        <v>851374.24400000006</v>
      </c>
      <c r="G9" s="102">
        <f>'Ann 5'!F23</f>
        <v>906470.44108000014</v>
      </c>
      <c r="H9" s="102">
        <f>'Ann 5'!G23</f>
        <v>962798.3719556001</v>
      </c>
      <c r="I9" s="102">
        <f>'Ann 5'!H23</f>
        <v>1020444.2579924922</v>
      </c>
      <c r="J9" s="102">
        <f>'Ann 5'!I23</f>
        <v>1079500.3560519665</v>
      </c>
      <c r="K9" s="102">
        <f>'Ann 5'!J23</f>
        <v>1102565.3809756043</v>
      </c>
    </row>
    <row r="10" spans="1:11" x14ac:dyDescent="0.6">
      <c r="A10" s="101" t="s">
        <v>178</v>
      </c>
      <c r="B10" s="102">
        <v>0</v>
      </c>
      <c r="C10" s="102">
        <v>0</v>
      </c>
      <c r="D10" s="102">
        <f>'Ann 5'!C12</f>
        <v>1225000</v>
      </c>
      <c r="E10" s="102">
        <f>'Ann 5'!D12</f>
        <v>1406250</v>
      </c>
      <c r="F10" s="102">
        <f>'Ann 5'!E12</f>
        <v>1500000</v>
      </c>
      <c r="G10" s="102">
        <f>'Ann 5'!F12</f>
        <v>1593750</v>
      </c>
      <c r="H10" s="102">
        <f>'Ann 5'!G12</f>
        <v>1687500</v>
      </c>
      <c r="I10" s="102">
        <f>'Ann 5'!H12</f>
        <v>1781250</v>
      </c>
      <c r="J10" s="102">
        <f>'Ann 5'!I12</f>
        <v>1875000</v>
      </c>
      <c r="K10" s="102">
        <f>'Ann 5'!J12</f>
        <v>1875000</v>
      </c>
    </row>
    <row r="11" spans="1:11" x14ac:dyDescent="0.6">
      <c r="A11" s="101" t="s">
        <v>179</v>
      </c>
      <c r="B11" s="102">
        <v>0</v>
      </c>
      <c r="C11" s="102">
        <f>'Ann 4'!C11+'Ann 4'!C16-'Ann 5'!C23</f>
        <v>5181800</v>
      </c>
      <c r="D11" s="102">
        <f>'Ann 4'!D11+'Ann 4'!D16-'Ann 5'!D23</f>
        <v>5976846</v>
      </c>
      <c r="E11" s="102">
        <f>'Ann 4'!E11+'Ann 4'!E16-'Ann 5'!E23</f>
        <v>6305056.2200000007</v>
      </c>
      <c r="F11" s="102">
        <f>'Ann 4'!F11+'Ann 4'!F16-'Ann 5'!F23</f>
        <v>6641946.4554000003</v>
      </c>
      <c r="G11" s="102">
        <f>'Ann 4'!G11+'Ann 4'!G16-'Ann 5'!G23</f>
        <v>6988065.8222780004</v>
      </c>
      <c r="H11" s="102">
        <f>'Ann 4'!H11+'Ann 4'!H16-'Ann 5'!H23</f>
        <v>7343998.9505874598</v>
      </c>
      <c r="I11" s="102">
        <f>'Ann 4'!I11+'Ann 4'!I16-'Ann 5'!I23</f>
        <v>7710368.3239160832</v>
      </c>
      <c r="J11" s="102">
        <f>'Ann 4'!J11+'Ann 4'!J16-'Ann 5'!J23</f>
        <v>7829981.7545842715</v>
      </c>
      <c r="K11" s="102">
        <f>'Ann 4'!K11+'Ann 4'!K16-'Ann 5'!K23</f>
        <v>7957882.3592782337</v>
      </c>
    </row>
    <row r="12" spans="1:11" x14ac:dyDescent="0.6">
      <c r="A12" s="101" t="s">
        <v>250</v>
      </c>
      <c r="B12" s="102">
        <f>'Ann 1'!C33*100000</f>
        <v>51000</v>
      </c>
      <c r="C12" s="102">
        <v>0</v>
      </c>
      <c r="D12" s="102"/>
      <c r="E12" s="102"/>
      <c r="F12" s="102"/>
      <c r="G12" s="102"/>
      <c r="H12" s="102"/>
      <c r="I12" s="102"/>
      <c r="J12" s="102"/>
      <c r="K12" s="102"/>
    </row>
    <row r="13" spans="1:11" x14ac:dyDescent="0.6">
      <c r="A13" s="101" t="s">
        <v>162</v>
      </c>
      <c r="B13" s="102">
        <v>0</v>
      </c>
      <c r="C13" s="102">
        <f>'Ann 4'!C25</f>
        <v>336429.61538461532</v>
      </c>
      <c r="D13" s="102">
        <f>'Ann 4'!D25</f>
        <v>299634.61538461538</v>
      </c>
      <c r="E13" s="102">
        <f>'Ann 4'!E25</f>
        <v>254348.46153846156</v>
      </c>
      <c r="F13" s="102">
        <f>'Ann 4'!F25</f>
        <v>209062.30769230775</v>
      </c>
      <c r="G13" s="102">
        <f>'Ann 4'!G25</f>
        <v>163776.15384615396</v>
      </c>
      <c r="H13" s="102">
        <f>'Ann 4'!H25</f>
        <v>104338.07692307701</v>
      </c>
      <c r="I13" s="102">
        <f>'Ann 4'!I25</f>
        <v>44900</v>
      </c>
      <c r="J13" s="102">
        <f>'Ann 4'!J25</f>
        <v>44900</v>
      </c>
      <c r="K13" s="102">
        <f>'Ann 4'!K25</f>
        <v>44900</v>
      </c>
    </row>
    <row r="14" spans="1:11" x14ac:dyDescent="0.6">
      <c r="A14" s="101"/>
      <c r="B14" s="102">
        <f t="shared" ref="B14:K14" si="1">B4+B8-B9+B10-B11-B13+B5+B6-B7-B12</f>
        <v>2198999.9999999991</v>
      </c>
      <c r="C14" s="102">
        <f t="shared" si="1"/>
        <v>10155770.384615384</v>
      </c>
      <c r="D14" s="102">
        <f t="shared" si="1"/>
        <v>12707344.223076921</v>
      </c>
      <c r="E14" s="102">
        <f t="shared" si="1"/>
        <v>14470696.051999997</v>
      </c>
      <c r="F14" s="102">
        <f t="shared" si="1"/>
        <v>16277027.315101534</v>
      </c>
      <c r="G14" s="102">
        <f t="shared" si="1"/>
        <v>18133117.613966335</v>
      </c>
      <c r="H14" s="102">
        <f t="shared" si="1"/>
        <v>20058478.714642055</v>
      </c>
      <c r="I14" s="102">
        <f t="shared" si="1"/>
        <v>21510336.161055751</v>
      </c>
      <c r="J14" s="102">
        <f t="shared" si="1"/>
        <v>23483131.488620941</v>
      </c>
      <c r="K14" s="102">
        <f t="shared" si="1"/>
        <v>25401344.501438163</v>
      </c>
    </row>
    <row r="15" spans="1:11" x14ac:dyDescent="0.6">
      <c r="A15" s="101" t="s">
        <v>181</v>
      </c>
      <c r="B15" s="102">
        <v>0</v>
      </c>
      <c r="C15" s="102">
        <f>'Ann 4'!C32</f>
        <v>2378913.115384615</v>
      </c>
      <c r="D15" s="102">
        <f>'Ann 4'!D32</f>
        <v>2801614.5553846154</v>
      </c>
      <c r="E15" s="102">
        <f>'Ann 4'!E32</f>
        <v>3058523.1973384609</v>
      </c>
      <c r="F15" s="102">
        <f>'Ann 4'!F32</f>
        <v>3309445.8324983069</v>
      </c>
      <c r="G15" s="102">
        <f>'Ann 4'!G32</f>
        <v>3554645.6752635739</v>
      </c>
      <c r="H15" s="102">
        <f>'Ann 4'!H32</f>
        <v>3798551.6895834655</v>
      </c>
      <c r="I15" s="102">
        <f>'Ann 4'!I32</f>
        <v>4037031.1262088036</v>
      </c>
      <c r="J15" s="102">
        <f>'Ann 4'!J32</f>
        <v>4003409.0396263734</v>
      </c>
      <c r="K15" s="102">
        <f>'Ann 4'!K32</f>
        <v>3965459.1468360461</v>
      </c>
    </row>
    <row r="16" spans="1:11" x14ac:dyDescent="0.6">
      <c r="A16" s="101"/>
      <c r="B16" s="102">
        <v>0</v>
      </c>
      <c r="C16" s="102">
        <f>C14-C15</f>
        <v>7776857.269230769</v>
      </c>
      <c r="D16" s="102">
        <f t="shared" ref="D16:K16" si="2">D14-D15</f>
        <v>9905729.6676923055</v>
      </c>
      <c r="E16" s="102">
        <f t="shared" si="2"/>
        <v>11412172.854661535</v>
      </c>
      <c r="F16" s="102">
        <f t="shared" si="2"/>
        <v>12967581.482603228</v>
      </c>
      <c r="G16" s="102">
        <f t="shared" si="2"/>
        <v>14578471.93870276</v>
      </c>
      <c r="H16" s="102">
        <f t="shared" si="2"/>
        <v>16259927.02505859</v>
      </c>
      <c r="I16" s="102">
        <f t="shared" si="2"/>
        <v>17473305.034846947</v>
      </c>
      <c r="J16" s="102">
        <f t="shared" si="2"/>
        <v>19479722.448994566</v>
      </c>
      <c r="K16" s="102">
        <f t="shared" si="2"/>
        <v>21435885.354602117</v>
      </c>
    </row>
    <row r="17" spans="1:12" x14ac:dyDescent="0.6">
      <c r="A17" s="101" t="s">
        <v>180</v>
      </c>
      <c r="B17" s="102">
        <v>0</v>
      </c>
      <c r="C17" s="102">
        <f>'Ann 4'!C34</f>
        <v>4399837.8153846152</v>
      </c>
      <c r="D17" s="102">
        <f>'Ann 4'!D34</f>
        <v>5229680.5033846162</v>
      </c>
      <c r="E17" s="102">
        <f>'Ann 4'!E34</f>
        <v>5709243.3016984612</v>
      </c>
      <c r="F17" s="102">
        <f>'Ann 4'!F34</f>
        <v>6177632.2206635075</v>
      </c>
      <c r="G17" s="102">
        <f>'Ann 4'!G34</f>
        <v>6635338.5938253375</v>
      </c>
      <c r="H17" s="102">
        <f>'Ann 4'!H34</f>
        <v>7970789.8205558034</v>
      </c>
      <c r="I17" s="102">
        <f>'Ann 4'!I34</f>
        <v>7535791.4355897671</v>
      </c>
      <c r="J17" s="102">
        <f>'Ann 4'!J34</f>
        <v>7473030.2073025648</v>
      </c>
      <c r="K17" s="102">
        <f>'Ann 4'!K34</f>
        <v>7402190.4074272877</v>
      </c>
    </row>
    <row r="18" spans="1:12" x14ac:dyDescent="0.6">
      <c r="A18" s="101"/>
      <c r="B18" s="102">
        <v>0</v>
      </c>
      <c r="C18" s="102">
        <f>C16-C17</f>
        <v>3377019.4538461538</v>
      </c>
      <c r="D18" s="102">
        <f t="shared" ref="D18:K18" si="3">D16-D17</f>
        <v>4676049.1643076893</v>
      </c>
      <c r="E18" s="102">
        <f t="shared" si="3"/>
        <v>5702929.5529630743</v>
      </c>
      <c r="F18" s="102">
        <f t="shared" si="3"/>
        <v>6789949.2619397203</v>
      </c>
      <c r="G18" s="102">
        <f t="shared" si="3"/>
        <v>7943133.3448774228</v>
      </c>
      <c r="H18" s="102">
        <f t="shared" si="3"/>
        <v>8289137.2045027865</v>
      </c>
      <c r="I18" s="102">
        <f t="shared" si="3"/>
        <v>9937513.5992571786</v>
      </c>
      <c r="J18" s="102">
        <f t="shared" si="3"/>
        <v>12006692.241692001</v>
      </c>
      <c r="K18" s="102">
        <f t="shared" si="3"/>
        <v>14033694.947174828</v>
      </c>
    </row>
    <row r="19" spans="1:12" x14ac:dyDescent="0.6">
      <c r="A19" s="101" t="s">
        <v>182</v>
      </c>
      <c r="B19" s="102">
        <v>0</v>
      </c>
      <c r="C19" s="102">
        <f>SUM('Ann 13'!D10:D13)*100000</f>
        <v>377384.61538461532</v>
      </c>
      <c r="D19" s="102">
        <f>SUM('Ann 13'!D14:D17)*100000</f>
        <v>754769.23076923063</v>
      </c>
      <c r="E19" s="102">
        <f>SUM('Ann 13'!D18:D21)*100000</f>
        <v>754769.23076923063</v>
      </c>
      <c r="F19" s="102">
        <f>SUM('Ann 13'!D22:D25)*100000</f>
        <v>754769.23076923063</v>
      </c>
      <c r="G19" s="102">
        <f>SUM('Ann 13'!D26:D29)*100000</f>
        <v>754769.23076923063</v>
      </c>
      <c r="H19" s="102">
        <f>SUM('Ann 13'!D30:D33)*100000</f>
        <v>409338.46153846354</v>
      </c>
      <c r="I19" s="102">
        <f>SUM('Ann 13'!D34:D37)*100000</f>
        <v>0</v>
      </c>
      <c r="J19" s="102">
        <v>0</v>
      </c>
      <c r="K19" s="102">
        <v>0</v>
      </c>
    </row>
    <row r="20" spans="1:12" x14ac:dyDescent="0.6">
      <c r="A20" s="101" t="s">
        <v>183</v>
      </c>
      <c r="B20" s="102">
        <f>B14</f>
        <v>2198999.9999999991</v>
      </c>
      <c r="C20" s="102">
        <f>C18-C19</f>
        <v>2999634.8384615383</v>
      </c>
      <c r="D20" s="102">
        <f>D18-D19</f>
        <v>3921279.9335384588</v>
      </c>
      <c r="E20" s="102">
        <f>E18-E19</f>
        <v>4948160.3221938433</v>
      </c>
      <c r="F20" s="102">
        <f t="shared" ref="F20:K20" si="4">F18-F19</f>
        <v>6035180.0311704893</v>
      </c>
      <c r="G20" s="102">
        <f t="shared" si="4"/>
        <v>7188364.1141081918</v>
      </c>
      <c r="H20" s="102">
        <f t="shared" si="4"/>
        <v>7879798.7429643227</v>
      </c>
      <c r="I20" s="102">
        <f t="shared" si="4"/>
        <v>9937513.5992571786</v>
      </c>
      <c r="J20" s="102">
        <f t="shared" si="4"/>
        <v>12006692.241692001</v>
      </c>
      <c r="K20" s="102">
        <f t="shared" si="4"/>
        <v>14033694.947174828</v>
      </c>
    </row>
    <row r="22" spans="1:12" x14ac:dyDescent="0.6">
      <c r="A22" s="103" t="s">
        <v>184</v>
      </c>
      <c r="B22" s="104">
        <v>0.06</v>
      </c>
      <c r="C22" s="105"/>
      <c r="D22" s="103"/>
      <c r="E22" s="103"/>
      <c r="F22" s="103"/>
      <c r="G22" s="103"/>
      <c r="H22" s="103"/>
      <c r="I22" s="103"/>
      <c r="J22" s="103"/>
      <c r="K22" s="103"/>
      <c r="L22" s="103"/>
    </row>
    <row r="23" spans="1:12" x14ac:dyDescent="0.6">
      <c r="A23" s="103" t="s">
        <v>185</v>
      </c>
      <c r="B23" s="103">
        <v>1</v>
      </c>
      <c r="C23" s="106">
        <f>1/(1+$B$22)</f>
        <v>0.94339622641509424</v>
      </c>
      <c r="D23" s="106">
        <f>1/((1+$B$22)*(1+$B$22))</f>
        <v>0.88999644001423983</v>
      </c>
      <c r="E23" s="106">
        <f>1/((1+$B$22)*(1+$B$22)*(1+$B$22))</f>
        <v>0.8396192830323016</v>
      </c>
      <c r="F23" s="106">
        <f>1/((1+$B$22)*(1+$B$22)*(1+$B$22)*(1+$B$22))</f>
        <v>0.79209366323802044</v>
      </c>
      <c r="G23" s="106">
        <f>1/((1+$B$22)*(1+$B$22)*(1+$B$22)*(1+$B$22)*(1+$B$22))</f>
        <v>0.74725817286605689</v>
      </c>
      <c r="H23" s="106">
        <f>1/((1+$B$22)*(1+$B$22)*(1+$B$22)*(1+$B$22)*(1+$B$22)*(1+$B$22))</f>
        <v>0.70496054043967626</v>
      </c>
      <c r="I23" s="106">
        <f>1/((1+$B$22)*(1+$B$22)*(1+$B$22)*(1+$B$22)*(1+$B$22)*(1+$B$22)*(1+$B$22))</f>
        <v>0.6650571136223361</v>
      </c>
      <c r="J23" s="106">
        <f>1/((1+$B$22)*(1+$B$22)*(1+$B$22)*(1+$B$22)*(1+$B$22)*(1+$B$22)*(1+$B$22)*(1+$B$22))</f>
        <v>0.62741237134182648</v>
      </c>
      <c r="K23" s="106">
        <f>1/((1+$B$22)*(1+$B$22)*(1+$B$22)*(1+$B$22)*(1+$B$22)*(1+$B$22)*(1+$B$22)*(1+$B$22)*(1+$B$22))</f>
        <v>0.59189846353002495</v>
      </c>
      <c r="L23" s="103"/>
    </row>
    <row r="24" spans="1:12" x14ac:dyDescent="0.6">
      <c r="A24" s="103" t="s">
        <v>186</v>
      </c>
      <c r="B24" s="103">
        <f>B4+B8+B10+B5+B6</f>
        <v>5949999.9999999991</v>
      </c>
      <c r="C24" s="103">
        <f>C4+C8+C10+C5+C6</f>
        <v>15674000</v>
      </c>
      <c r="D24" s="103">
        <f t="shared" ref="D24:K24" si="5">D4+D8+D10</f>
        <v>19693384.838461537</v>
      </c>
      <c r="E24" s="103">
        <f t="shared" si="5"/>
        <v>21827529.933538459</v>
      </c>
      <c r="F24" s="103">
        <f t="shared" si="5"/>
        <v>23979410.322193842</v>
      </c>
      <c r="G24" s="103">
        <f t="shared" si="5"/>
        <v>26191430.031170487</v>
      </c>
      <c r="H24" s="103">
        <f t="shared" si="5"/>
        <v>28469614.11410819</v>
      </c>
      <c r="I24" s="103">
        <f t="shared" si="5"/>
        <v>30286048.742964324</v>
      </c>
      <c r="J24" s="103">
        <f t="shared" si="5"/>
        <v>32437513.599257179</v>
      </c>
      <c r="K24" s="103">
        <f t="shared" si="5"/>
        <v>34506692.241691999</v>
      </c>
      <c r="L24" s="103"/>
    </row>
    <row r="25" spans="1:12" x14ac:dyDescent="0.6">
      <c r="A25" s="103" t="s">
        <v>187</v>
      </c>
      <c r="B25" s="103">
        <f>B24*B23</f>
        <v>5949999.9999999991</v>
      </c>
      <c r="C25" s="103">
        <f>C24*C23</f>
        <v>14786792.452830188</v>
      </c>
      <c r="D25" s="103">
        <f t="shared" ref="D25:K25" si="6">D24*D23</f>
        <v>17527042.398061175</v>
      </c>
      <c r="E25" s="103">
        <f t="shared" si="6"/>
        <v>18326815.033163663</v>
      </c>
      <c r="F25" s="103">
        <f t="shared" si="6"/>
        <v>18993938.964394122</v>
      </c>
      <c r="G25" s="103">
        <f t="shared" si="6"/>
        <v>19571760.149841629</v>
      </c>
      <c r="H25" s="103">
        <f t="shared" si="6"/>
        <v>20069954.551990744</v>
      </c>
      <c r="I25" s="103">
        <f t="shared" si="6"/>
        <v>20141952.160021234</v>
      </c>
      <c r="J25" s="103">
        <f t="shared" si="6"/>
        <v>20351697.327742692</v>
      </c>
      <c r="K25" s="103">
        <f t="shared" si="6"/>
        <v>20424458.119360927</v>
      </c>
      <c r="L25" s="103"/>
    </row>
    <row r="26" spans="1:12" x14ac:dyDescent="0.6">
      <c r="A26" s="103" t="s">
        <v>188</v>
      </c>
      <c r="B26" s="103">
        <f t="shared" ref="B26:K26" si="7">B9+B11+B13+B15+B17+B19+B7+B12</f>
        <v>3751000</v>
      </c>
      <c r="C26" s="103">
        <f t="shared" si="7"/>
        <v>12674365.161538461</v>
      </c>
      <c r="D26" s="103">
        <f t="shared" si="7"/>
        <v>15772104.904923076</v>
      </c>
      <c r="E26" s="103">
        <f t="shared" si="7"/>
        <v>16879369.611344617</v>
      </c>
      <c r="F26" s="103">
        <f t="shared" si="7"/>
        <v>17944230.291023355</v>
      </c>
      <c r="G26" s="103">
        <f t="shared" si="7"/>
        <v>19003065.917062297</v>
      </c>
      <c r="H26" s="103">
        <f t="shared" si="7"/>
        <v>20589815.37114387</v>
      </c>
      <c r="I26" s="103">
        <f t="shared" si="7"/>
        <v>20348535.143707149</v>
      </c>
      <c r="J26" s="103">
        <f t="shared" si="7"/>
        <v>20430821.357565176</v>
      </c>
      <c r="K26" s="103">
        <f t="shared" si="7"/>
        <v>20472997.294517171</v>
      </c>
      <c r="L26" s="103"/>
    </row>
    <row r="27" spans="1:12" x14ac:dyDescent="0.6">
      <c r="A27" s="103" t="s">
        <v>189</v>
      </c>
      <c r="B27" s="103">
        <f>B26*B23</f>
        <v>3751000</v>
      </c>
      <c r="C27" s="103">
        <f>C26*C23</f>
        <v>11956948.26560232</v>
      </c>
      <c r="D27" s="103">
        <f t="shared" ref="D27:K27" si="8">D26*D23</f>
        <v>14037117.216912668</v>
      </c>
      <c r="E27" s="103">
        <f t="shared" si="8"/>
        <v>14172244.211114386</v>
      </c>
      <c r="F27" s="103">
        <f t="shared" si="8"/>
        <v>14213511.105203338</v>
      </c>
      <c r="G27" s="103">
        <f t="shared" si="8"/>
        <v>14200196.316037212</v>
      </c>
      <c r="H27" s="103">
        <f t="shared" si="8"/>
        <v>14515007.371594736</v>
      </c>
      <c r="I27" s="103">
        <f t="shared" si="8"/>
        <v>13532938.049116544</v>
      </c>
      <c r="J27" s="103">
        <f t="shared" si="8"/>
        <v>12818550.076411201</v>
      </c>
      <c r="K27" s="103">
        <f t="shared" si="8"/>
        <v>12117935.642479071</v>
      </c>
      <c r="L27" s="103"/>
    </row>
    <row r="28" spans="1:12" x14ac:dyDescent="0.6">
      <c r="A28" s="103"/>
      <c r="B28" s="103"/>
      <c r="C28" s="103"/>
      <c r="D28" s="103"/>
      <c r="E28" s="103"/>
      <c r="F28" s="103"/>
      <c r="G28" s="103"/>
      <c r="H28" s="103"/>
      <c r="I28" s="103"/>
      <c r="J28" s="103"/>
      <c r="K28" s="103"/>
      <c r="L28" s="103"/>
    </row>
    <row r="29" spans="1:12" x14ac:dyDescent="0.6">
      <c r="A29" s="103" t="s">
        <v>190</v>
      </c>
      <c r="B29" s="103">
        <f>B24-B26</f>
        <v>2198999.9999999991</v>
      </c>
      <c r="C29" s="103">
        <f>C24-C26</f>
        <v>2999634.8384615388</v>
      </c>
      <c r="D29" s="103">
        <f>D24-D26</f>
        <v>3921279.9335384611</v>
      </c>
      <c r="E29" s="103">
        <f t="shared" ref="E29:K29" si="9">E24-E26</f>
        <v>4948160.3221938424</v>
      </c>
      <c r="F29" s="103">
        <f t="shared" si="9"/>
        <v>6035180.0311704874</v>
      </c>
      <c r="G29" s="103">
        <f t="shared" si="9"/>
        <v>7188364.1141081899</v>
      </c>
      <c r="H29" s="103">
        <f t="shared" si="9"/>
        <v>7879798.7429643199</v>
      </c>
      <c r="I29" s="103">
        <f t="shared" si="9"/>
        <v>9937513.5992571749</v>
      </c>
      <c r="J29" s="103">
        <f t="shared" si="9"/>
        <v>12006692.241692003</v>
      </c>
      <c r="K29" s="103">
        <f t="shared" si="9"/>
        <v>14033694.947174828</v>
      </c>
      <c r="L29" s="103"/>
    </row>
    <row r="30" spans="1:12" x14ac:dyDescent="0.6">
      <c r="A30" s="103" t="s">
        <v>191</v>
      </c>
      <c r="B30" s="103">
        <f>B25-B27</f>
        <v>2198999.9999999991</v>
      </c>
      <c r="C30" s="103">
        <f>C29*C23</f>
        <v>2829844.1872278666</v>
      </c>
      <c r="D30" s="103">
        <f t="shared" ref="D30:K30" si="10">D29*D23</f>
        <v>3489925.1811485053</v>
      </c>
      <c r="E30" s="103">
        <f t="shared" si="10"/>
        <v>4154570.8220492764</v>
      </c>
      <c r="F30" s="103">
        <f t="shared" si="10"/>
        <v>4780427.8591907816</v>
      </c>
      <c r="G30" s="103">
        <f t="shared" si="10"/>
        <v>5371563.8338044174</v>
      </c>
      <c r="H30" s="103">
        <f t="shared" si="10"/>
        <v>5554947.1803960083</v>
      </c>
      <c r="I30" s="103">
        <f t="shared" si="10"/>
        <v>6609014.1109046889</v>
      </c>
      <c r="J30" s="103">
        <f t="shared" si="10"/>
        <v>7533147.2513314895</v>
      </c>
      <c r="K30" s="103">
        <f t="shared" si="10"/>
        <v>8306522.4768818561</v>
      </c>
      <c r="L30" s="103">
        <f>SUM(B30:K30)</f>
        <v>50828962.902934887</v>
      </c>
    </row>
    <row r="31" spans="1:12" x14ac:dyDescent="0.6">
      <c r="A31" s="105"/>
      <c r="B31" s="105"/>
      <c r="C31" s="107"/>
      <c r="D31" s="107"/>
      <c r="E31" s="107"/>
      <c r="F31" s="107"/>
      <c r="G31" s="107"/>
      <c r="H31" s="105"/>
      <c r="I31" s="105"/>
      <c r="J31" s="105"/>
      <c r="K31" s="105"/>
      <c r="L31" s="105"/>
    </row>
  </sheetData>
  <pageMargins left="0.7" right="0.7" top="0.75" bottom="0.75" header="0.3" footer="0.3"/>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7" x14ac:dyDescent="0.6"/>
  <cols>
    <col min="1" max="1" width="16.453125" style="6" bestFit="1" customWidth="1"/>
    <col min="2" max="16384" width="8.7265625" style="6"/>
  </cols>
  <sheetData>
    <row r="2" spans="1:10" x14ac:dyDescent="0.6">
      <c r="B2" s="6" t="s">
        <v>39</v>
      </c>
      <c r="C2" s="6" t="s">
        <v>40</v>
      </c>
      <c r="D2" s="6" t="s">
        <v>41</v>
      </c>
      <c r="E2" s="6" t="s">
        <v>42</v>
      </c>
      <c r="F2" s="6" t="s">
        <v>43</v>
      </c>
      <c r="G2" s="6" t="s">
        <v>44</v>
      </c>
      <c r="H2" s="6" t="s">
        <v>45</v>
      </c>
      <c r="I2" s="6" t="s">
        <v>46</v>
      </c>
      <c r="J2" s="6" t="s">
        <v>47</v>
      </c>
    </row>
    <row r="3" spans="1:10" x14ac:dyDescent="0.6">
      <c r="A3" s="6" t="s">
        <v>192</v>
      </c>
      <c r="B3" s="29">
        <f>'Ann 4'!C19/100000</f>
        <v>147</v>
      </c>
      <c r="C3" s="29">
        <f>'Ann 4'!D19/100000</f>
        <v>168.75</v>
      </c>
      <c r="D3" s="29">
        <f>'Ann 4'!E19/100000</f>
        <v>180</v>
      </c>
      <c r="E3" s="29">
        <f>'Ann 4'!F19/100000</f>
        <v>191.25</v>
      </c>
      <c r="F3" s="29">
        <f>'Ann 4'!G19/100000</f>
        <v>202.5</v>
      </c>
      <c r="G3" s="29">
        <f>'Ann 4'!H19/100000</f>
        <v>213.75</v>
      </c>
      <c r="H3" s="29">
        <f>'Ann 4'!I19/100000</f>
        <v>225</v>
      </c>
      <c r="I3" s="29">
        <f>'Ann 4'!J19/100000</f>
        <v>225</v>
      </c>
      <c r="J3" s="29">
        <f>'Ann 4'!K19/100000</f>
        <v>225</v>
      </c>
    </row>
    <row r="4" spans="1:10" x14ac:dyDescent="0.6">
      <c r="A4" s="6" t="s">
        <v>193</v>
      </c>
      <c r="B4" s="29">
        <f>'Ann 4'!C18/100000</f>
        <v>58.913600000000002</v>
      </c>
      <c r="C4" s="29">
        <f>'Ann 4'!D18/100000</f>
        <v>67.742751999999996</v>
      </c>
      <c r="D4" s="29">
        <f>'Ann 4'!E18/100000</f>
        <v>71.564304640000003</v>
      </c>
      <c r="E4" s="29">
        <f>'Ann 4'!F18/100000</f>
        <v>75.484168964800006</v>
      </c>
      <c r="F4" s="29">
        <f>'Ann 4'!G18/100000</f>
        <v>79.508641942336013</v>
      </c>
      <c r="G4" s="29">
        <f>'Ann 4'!H18/100000</f>
        <v>83.644432085799522</v>
      </c>
      <c r="H4" s="29">
        <f>'Ann 4'!I18/100000</f>
        <v>87.898686799680505</v>
      </c>
      <c r="I4" s="29">
        <f>'Ann 4'!J18/100000</f>
        <v>89.325471355598751</v>
      </c>
      <c r="J4" s="29">
        <f>'Ann 4'!K18/100000</f>
        <v>90.851273169221301</v>
      </c>
    </row>
    <row r="5" spans="1:10" x14ac:dyDescent="0.6">
      <c r="A5" s="6" t="s">
        <v>194</v>
      </c>
      <c r="B5" s="29">
        <f>B3-B4</f>
        <v>88.086399999999998</v>
      </c>
      <c r="C5" s="29">
        <f t="shared" ref="C5:J5" si="0">C3-C4</f>
        <v>101.007248</v>
      </c>
      <c r="D5" s="29">
        <f t="shared" si="0"/>
        <v>108.43569536</v>
      </c>
      <c r="E5" s="29">
        <f t="shared" si="0"/>
        <v>115.76583103519999</v>
      </c>
      <c r="F5" s="29">
        <f t="shared" si="0"/>
        <v>122.99135805766399</v>
      </c>
      <c r="G5" s="29">
        <f t="shared" si="0"/>
        <v>130.10556791420049</v>
      </c>
      <c r="H5" s="29">
        <f t="shared" si="0"/>
        <v>137.10131320031951</v>
      </c>
      <c r="I5" s="29">
        <f t="shared" si="0"/>
        <v>135.67452864440125</v>
      </c>
      <c r="J5" s="29">
        <f t="shared" si="0"/>
        <v>134.14872683077868</v>
      </c>
    </row>
    <row r="6" spans="1:10" x14ac:dyDescent="0.6">
      <c r="A6" s="6" t="s">
        <v>195</v>
      </c>
      <c r="B6" s="29">
        <f>B5</f>
        <v>88.086399999999998</v>
      </c>
      <c r="C6" s="29">
        <f t="shared" ref="C6:J6" si="1">C5</f>
        <v>101.007248</v>
      </c>
      <c r="D6" s="29">
        <f t="shared" si="1"/>
        <v>108.43569536</v>
      </c>
      <c r="E6" s="29">
        <f t="shared" si="1"/>
        <v>115.76583103519999</v>
      </c>
      <c r="F6" s="29">
        <f t="shared" si="1"/>
        <v>122.99135805766399</v>
      </c>
      <c r="G6" s="29">
        <f t="shared" si="1"/>
        <v>130.10556791420049</v>
      </c>
      <c r="H6" s="29">
        <f t="shared" si="1"/>
        <v>137.10131320031951</v>
      </c>
      <c r="I6" s="29">
        <f t="shared" si="1"/>
        <v>135.67452864440125</v>
      </c>
      <c r="J6" s="29">
        <f t="shared" si="1"/>
        <v>134.14872683077868</v>
      </c>
    </row>
    <row r="7" spans="1:10" x14ac:dyDescent="0.6">
      <c r="A7" s="6" t="s">
        <v>196</v>
      </c>
      <c r="B7" s="127">
        <f>'Ann 4'!C31/100000</f>
        <v>78.78710384615384</v>
      </c>
      <c r="C7" s="127">
        <f>'Ann 4'!D31/100000</f>
        <v>93.387151846153841</v>
      </c>
      <c r="D7" s="127">
        <f>'Ann 4'!E31/100000</f>
        <v>101.95077324461536</v>
      </c>
      <c r="E7" s="127">
        <f>'Ann 4'!F31/100000</f>
        <v>110.31486108327691</v>
      </c>
      <c r="F7" s="127">
        <f>'Ann 4'!G31/100000</f>
        <v>118.48818917545246</v>
      </c>
      <c r="G7" s="127">
        <f>'Ann 4'!H31/100000</f>
        <v>137.62038965278219</v>
      </c>
      <c r="H7" s="127">
        <f>'Ann 4'!I31/100000</f>
        <v>134.56770420696012</v>
      </c>
      <c r="I7" s="127">
        <f>'Ann 4'!J31/100000</f>
        <v>133.44696798754578</v>
      </c>
      <c r="J7" s="127">
        <f>'Ann 4'!K31/100000</f>
        <v>132.18197156120155</v>
      </c>
    </row>
    <row r="8" spans="1:10" x14ac:dyDescent="0.6">
      <c r="A8" s="6" t="s">
        <v>197</v>
      </c>
      <c r="B8" s="127">
        <f>'Ann 4'!C33/100000</f>
        <v>54.997972692307691</v>
      </c>
      <c r="C8" s="127">
        <f>'Ann 4'!D33/100000</f>
        <v>65.371006292307698</v>
      </c>
      <c r="D8" s="127">
        <f>'Ann 4'!E33/100000</f>
        <v>71.365541271230754</v>
      </c>
      <c r="E8" s="127">
        <f>'Ann 4'!F33/100000</f>
        <v>77.220402758293844</v>
      </c>
      <c r="F8" s="127">
        <f>'Ann 4'!G33/100000</f>
        <v>82.941732422816713</v>
      </c>
      <c r="G8" s="127">
        <f>'Ann 4'!H33/100000</f>
        <v>99.634872756947544</v>
      </c>
      <c r="H8" s="127">
        <f>'Ann 4'!I33/100000</f>
        <v>94.197392944872078</v>
      </c>
      <c r="I8" s="127">
        <f>'Ann 4'!J33/100000</f>
        <v>93.412877591282054</v>
      </c>
      <c r="J8" s="127">
        <f>'Ann 4'!K33/100000</f>
        <v>92.527380092841085</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8"/>
  <sheetViews>
    <sheetView workbookViewId="0">
      <selection activeCell="B6" sqref="B6"/>
    </sheetView>
  </sheetViews>
  <sheetFormatPr defaultRowHeight="17" x14ac:dyDescent="0.6"/>
  <cols>
    <col min="1" max="1" width="8.7265625" style="6"/>
    <col min="2" max="2" width="84" style="6" bestFit="1" customWidth="1"/>
    <col min="3" max="3" width="12.36328125" style="6" bestFit="1" customWidth="1"/>
    <col min="4" max="12" width="12.54296875" style="6" bestFit="1" customWidth="1"/>
    <col min="13" max="16384" width="8.7265625" style="6"/>
  </cols>
  <sheetData>
    <row r="1" spans="1:12" x14ac:dyDescent="0.6">
      <c r="A1" s="5" t="s">
        <v>216</v>
      </c>
      <c r="B1" s="5" t="s">
        <v>217</v>
      </c>
    </row>
    <row r="2" spans="1:12" x14ac:dyDescent="0.6">
      <c r="A2" s="6">
        <v>1</v>
      </c>
      <c r="B2" s="6" t="s">
        <v>297</v>
      </c>
    </row>
    <row r="3" spans="1:12" x14ac:dyDescent="0.6">
      <c r="A3" s="6">
        <v>2</v>
      </c>
      <c r="B3" s="6" t="s">
        <v>218</v>
      </c>
    </row>
    <row r="4" spans="1:12" x14ac:dyDescent="0.6">
      <c r="C4" s="6" t="s">
        <v>171</v>
      </c>
      <c r="D4" s="6">
        <v>75000</v>
      </c>
      <c r="E4" s="6">
        <f>D4*1.05</f>
        <v>78750</v>
      </c>
      <c r="F4" s="6">
        <f t="shared" ref="F4:J4" si="0">E4*1.05</f>
        <v>82687.5</v>
      </c>
      <c r="G4" s="6">
        <f t="shared" si="0"/>
        <v>86821.875</v>
      </c>
      <c r="H4" s="6">
        <f t="shared" si="0"/>
        <v>91162.96875</v>
      </c>
      <c r="I4" s="6">
        <f t="shared" si="0"/>
        <v>95721.1171875</v>
      </c>
      <c r="J4" s="6">
        <f t="shared" si="0"/>
        <v>100507.173046875</v>
      </c>
      <c r="K4" s="6">
        <f>J4</f>
        <v>100507.173046875</v>
      </c>
      <c r="L4" s="6">
        <f>K4</f>
        <v>100507.173046875</v>
      </c>
    </row>
    <row r="5" spans="1:12" x14ac:dyDescent="0.6">
      <c r="C5" s="6" t="s">
        <v>71</v>
      </c>
      <c r="D5" s="6">
        <f>D4*10</f>
        <v>750000</v>
      </c>
      <c r="E5" s="6">
        <f t="shared" ref="E5:L5" si="1">E4*14</f>
        <v>1102500</v>
      </c>
      <c r="F5" s="6">
        <f t="shared" si="1"/>
        <v>1157625</v>
      </c>
      <c r="G5" s="6">
        <f t="shared" si="1"/>
        <v>1215506.25</v>
      </c>
      <c r="H5" s="6">
        <f t="shared" si="1"/>
        <v>1276281.5625</v>
      </c>
      <c r="I5" s="6">
        <f t="shared" si="1"/>
        <v>1340095.640625</v>
      </c>
      <c r="J5" s="6">
        <f t="shared" si="1"/>
        <v>1407100.42265625</v>
      </c>
      <c r="K5" s="6">
        <f t="shared" si="1"/>
        <v>1407100.42265625</v>
      </c>
      <c r="L5" s="6">
        <f t="shared" si="1"/>
        <v>1407100.42265625</v>
      </c>
    </row>
    <row r="6" spans="1:12" x14ac:dyDescent="0.6">
      <c r="A6" s="6">
        <v>3</v>
      </c>
      <c r="B6" s="6" t="s">
        <v>243</v>
      </c>
    </row>
    <row r="7" spans="1:12" x14ac:dyDescent="0.6">
      <c r="A7" s="6">
        <v>4</v>
      </c>
      <c r="B7" s="6" t="s">
        <v>253</v>
      </c>
    </row>
    <row r="8" spans="1:12" x14ac:dyDescent="0.6">
      <c r="A8" s="6">
        <v>5</v>
      </c>
      <c r="B8" s="6" t="s">
        <v>254</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140</v>
      </c>
    </row>
    <row r="2" spans="1:11" x14ac:dyDescent="0.35">
      <c r="C2" t="s">
        <v>39</v>
      </c>
      <c r="D2" t="s">
        <v>40</v>
      </c>
      <c r="E2" t="s">
        <v>41</v>
      </c>
      <c r="F2" t="s">
        <v>42</v>
      </c>
      <c r="G2" t="s">
        <v>43</v>
      </c>
      <c r="H2" t="s">
        <v>44</v>
      </c>
      <c r="I2" t="s">
        <v>45</v>
      </c>
      <c r="J2" t="s">
        <v>46</v>
      </c>
      <c r="K2" t="s">
        <v>47</v>
      </c>
    </row>
    <row r="3" spans="1:11" x14ac:dyDescent="0.35">
      <c r="A3" t="s">
        <v>141</v>
      </c>
      <c r="C3">
        <f>'Ann 4'!C19/300*270</f>
        <v>13230000</v>
      </c>
      <c r="D3">
        <f>'Ann 4'!D19/300*270</f>
        <v>15187500</v>
      </c>
      <c r="E3">
        <f>'Ann 4'!E19/300*270</f>
        <v>16200000</v>
      </c>
      <c r="F3">
        <f>'Ann 4'!F19/300*270</f>
        <v>17212500</v>
      </c>
      <c r="G3">
        <f>'Ann 4'!G19/300*270</f>
        <v>18225000</v>
      </c>
      <c r="H3">
        <f>'Ann 4'!H19/300*270</f>
        <v>19237500</v>
      </c>
      <c r="I3">
        <f>'Ann 4'!I19/300*270</f>
        <v>20250000</v>
      </c>
      <c r="J3">
        <f>'Ann 4'!J19/300*270</f>
        <v>20250000</v>
      </c>
      <c r="K3">
        <f>'Ann 4'!K19/300*270</f>
        <v>20250000</v>
      </c>
    </row>
    <row r="4" spans="1:11" x14ac:dyDescent="0.35">
      <c r="A4" t="s">
        <v>142</v>
      </c>
      <c r="C4">
        <v>5000000</v>
      </c>
    </row>
    <row r="5" spans="1:11" x14ac:dyDescent="0.35">
      <c r="A5" t="s">
        <v>143</v>
      </c>
      <c r="C5">
        <v>21492978</v>
      </c>
    </row>
    <row r="7" spans="1:11" x14ac:dyDescent="0.35">
      <c r="A7" t="s">
        <v>144</v>
      </c>
      <c r="C7">
        <f>'Ann 3'!G19</f>
        <v>5200000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C42"/>
  <sheetViews>
    <sheetView topLeftCell="A24" workbookViewId="0">
      <selection activeCell="C39" sqref="C39"/>
    </sheetView>
  </sheetViews>
  <sheetFormatPr defaultRowHeight="17" x14ac:dyDescent="0.6"/>
  <cols>
    <col min="1" max="1" width="8.7265625" style="6"/>
    <col min="2" max="2" width="44.90625" style="6" customWidth="1"/>
    <col min="3" max="3" width="13.26953125" style="6" customWidth="1"/>
    <col min="4" max="16384" width="8.7265625" style="6"/>
  </cols>
  <sheetData>
    <row r="1" spans="1:3" x14ac:dyDescent="0.6">
      <c r="A1" s="5" t="s">
        <v>315</v>
      </c>
    </row>
    <row r="3" spans="1:3" x14ac:dyDescent="0.6">
      <c r="A3" s="5" t="s">
        <v>0</v>
      </c>
    </row>
    <row r="5" spans="1:3" x14ac:dyDescent="0.6">
      <c r="A5" s="21" t="s">
        <v>1</v>
      </c>
      <c r="B5" s="22"/>
      <c r="C5" s="22"/>
    </row>
    <row r="6" spans="1:3" ht="34" x14ac:dyDescent="0.6">
      <c r="A6" s="108" t="s">
        <v>2</v>
      </c>
      <c r="B6" s="108" t="s">
        <v>3</v>
      </c>
      <c r="C6" s="109" t="s">
        <v>4</v>
      </c>
    </row>
    <row r="7" spans="1:3" x14ac:dyDescent="0.6">
      <c r="A7" s="11">
        <v>1</v>
      </c>
      <c r="B7" s="12" t="s">
        <v>6</v>
      </c>
      <c r="C7" s="13"/>
    </row>
    <row r="8" spans="1:3" x14ac:dyDescent="0.6">
      <c r="A8" s="11" t="s">
        <v>5</v>
      </c>
      <c r="B8" s="12" t="s">
        <v>7</v>
      </c>
      <c r="C8" s="14">
        <v>0</v>
      </c>
    </row>
    <row r="9" spans="1:3" x14ac:dyDescent="0.6">
      <c r="A9" s="11"/>
      <c r="B9" s="12" t="s">
        <v>8</v>
      </c>
      <c r="C9" s="14">
        <f>SUM(C8)</f>
        <v>0</v>
      </c>
    </row>
    <row r="10" spans="1:3" x14ac:dyDescent="0.6">
      <c r="A10" s="11"/>
      <c r="B10" s="12"/>
      <c r="C10" s="13"/>
    </row>
    <row r="11" spans="1:3" x14ac:dyDescent="0.6">
      <c r="A11" s="11">
        <v>2</v>
      </c>
      <c r="B11" s="12" t="s">
        <v>165</v>
      </c>
      <c r="C11" s="14">
        <v>0</v>
      </c>
    </row>
    <row r="12" spans="1:3" x14ac:dyDescent="0.6">
      <c r="A12" s="11" t="s">
        <v>5</v>
      </c>
      <c r="B12" s="12" t="s">
        <v>8</v>
      </c>
      <c r="C12" s="14">
        <f>C11</f>
        <v>0</v>
      </c>
    </row>
    <row r="13" spans="1:3" x14ac:dyDescent="0.6">
      <c r="A13" s="11"/>
      <c r="B13" s="12"/>
      <c r="C13" s="13"/>
    </row>
    <row r="14" spans="1:3" x14ac:dyDescent="0.6">
      <c r="A14" s="11">
        <v>3</v>
      </c>
      <c r="B14" s="12" t="s">
        <v>9</v>
      </c>
      <c r="C14" s="13"/>
    </row>
    <row r="15" spans="1:3" x14ac:dyDescent="0.6">
      <c r="A15" s="11" t="s">
        <v>5</v>
      </c>
      <c r="B15" s="12" t="s">
        <v>9</v>
      </c>
      <c r="C15" s="15">
        <v>20</v>
      </c>
    </row>
    <row r="16" spans="1:3" x14ac:dyDescent="0.6">
      <c r="A16" s="11"/>
      <c r="B16" s="12" t="s">
        <v>8</v>
      </c>
      <c r="C16" s="15">
        <f>C15</f>
        <v>20</v>
      </c>
    </row>
    <row r="17" spans="1:3" x14ac:dyDescent="0.6">
      <c r="A17" s="11"/>
      <c r="B17" s="12"/>
      <c r="C17" s="13"/>
    </row>
    <row r="18" spans="1:3" x14ac:dyDescent="0.6">
      <c r="A18" s="11">
        <v>4</v>
      </c>
      <c r="B18" s="12" t="s">
        <v>10</v>
      </c>
      <c r="C18" s="13"/>
    </row>
    <row r="19" spans="1:3" x14ac:dyDescent="0.6">
      <c r="A19" s="11" t="s">
        <v>5</v>
      </c>
      <c r="B19" s="12" t="s">
        <v>11</v>
      </c>
      <c r="C19" s="15">
        <f>'Ann 3'!G17/100000</f>
        <v>32</v>
      </c>
    </row>
    <row r="20" spans="1:3" x14ac:dyDescent="0.6">
      <c r="A20" s="11"/>
      <c r="B20" s="12" t="s">
        <v>8</v>
      </c>
      <c r="C20" s="16">
        <f>C19</f>
        <v>32</v>
      </c>
    </row>
    <row r="21" spans="1:3" x14ac:dyDescent="0.6">
      <c r="A21" s="11"/>
      <c r="B21" s="12"/>
      <c r="C21" s="13"/>
    </row>
    <row r="22" spans="1:3" x14ac:dyDescent="0.6">
      <c r="A22" s="11">
        <v>5</v>
      </c>
      <c r="B22" s="12" t="s">
        <v>12</v>
      </c>
      <c r="C22" s="13"/>
    </row>
    <row r="23" spans="1:3" x14ac:dyDescent="0.6">
      <c r="A23" s="11" t="s">
        <v>5</v>
      </c>
      <c r="B23" s="12" t="s">
        <v>13</v>
      </c>
      <c r="C23" s="14">
        <v>0</v>
      </c>
    </row>
    <row r="24" spans="1:3" x14ac:dyDescent="0.6">
      <c r="A24" s="11"/>
      <c r="B24" s="12"/>
      <c r="C24" s="14"/>
    </row>
    <row r="25" spans="1:3" x14ac:dyDescent="0.6">
      <c r="A25" s="11">
        <v>6</v>
      </c>
      <c r="B25" s="12" t="s">
        <v>14</v>
      </c>
      <c r="C25" s="14">
        <v>4.49</v>
      </c>
    </row>
    <row r="26" spans="1:3" x14ac:dyDescent="0.6">
      <c r="A26" s="11"/>
      <c r="B26" s="12"/>
      <c r="C26" s="14"/>
    </row>
    <row r="27" spans="1:3" x14ac:dyDescent="0.6">
      <c r="A27" s="11">
        <v>7</v>
      </c>
      <c r="B27" s="12" t="s">
        <v>15</v>
      </c>
      <c r="C27" s="14">
        <v>0</v>
      </c>
    </row>
    <row r="28" spans="1:3" x14ac:dyDescent="0.6">
      <c r="A28" s="11" t="s">
        <v>5</v>
      </c>
      <c r="B28" s="12" t="s">
        <v>16</v>
      </c>
      <c r="C28" s="14">
        <v>0</v>
      </c>
    </row>
    <row r="29" spans="1:3" x14ac:dyDescent="0.6">
      <c r="A29" s="11"/>
      <c r="B29" s="12" t="s">
        <v>8</v>
      </c>
      <c r="C29" s="14"/>
    </row>
    <row r="30" spans="1:3" x14ac:dyDescent="0.6">
      <c r="A30" s="11"/>
      <c r="B30" s="12"/>
      <c r="C30" s="14"/>
    </row>
    <row r="31" spans="1:3" x14ac:dyDescent="0.6">
      <c r="A31" s="11">
        <v>8</v>
      </c>
      <c r="B31" s="12" t="s">
        <v>17</v>
      </c>
      <c r="C31" s="13"/>
    </row>
    <row r="32" spans="1:3" ht="34" x14ac:dyDescent="0.6">
      <c r="A32" s="11"/>
      <c r="B32" s="17" t="s">
        <v>18</v>
      </c>
      <c r="C32" s="13"/>
    </row>
    <row r="33" spans="1:3" x14ac:dyDescent="0.6">
      <c r="A33" s="11" t="s">
        <v>5</v>
      </c>
      <c r="B33" s="12" t="s">
        <v>19</v>
      </c>
      <c r="C33" s="14">
        <v>0.51</v>
      </c>
    </row>
    <row r="34" spans="1:3" x14ac:dyDescent="0.6">
      <c r="A34" s="11" t="s">
        <v>20</v>
      </c>
      <c r="B34" s="12" t="s">
        <v>21</v>
      </c>
      <c r="C34" s="14">
        <v>0</v>
      </c>
    </row>
    <row r="35" spans="1:3" x14ac:dyDescent="0.6">
      <c r="A35" s="11"/>
      <c r="B35" s="12" t="s">
        <v>8</v>
      </c>
      <c r="C35" s="14">
        <f>SUM(C33:C34)</f>
        <v>0.51</v>
      </c>
    </row>
    <row r="36" spans="1:3" x14ac:dyDescent="0.6">
      <c r="A36" s="11"/>
      <c r="B36" s="12"/>
      <c r="C36" s="14"/>
    </row>
    <row r="37" spans="1:3" x14ac:dyDescent="0.6">
      <c r="A37" s="11">
        <v>9</v>
      </c>
      <c r="B37" s="12" t="s">
        <v>256</v>
      </c>
      <c r="C37" s="14">
        <v>2.5</v>
      </c>
    </row>
    <row r="38" spans="1:3" x14ac:dyDescent="0.6">
      <c r="A38" s="11"/>
      <c r="B38" s="12"/>
      <c r="C38" s="13"/>
    </row>
    <row r="39" spans="1:3" s="5" customFormat="1" x14ac:dyDescent="0.6">
      <c r="A39" s="23"/>
      <c r="B39" s="24" t="s">
        <v>22</v>
      </c>
      <c r="C39" s="25">
        <f>C35+C27+C25+C20+C16+C23+C37+C12+C9</f>
        <v>59.5</v>
      </c>
    </row>
    <row r="40" spans="1:3" x14ac:dyDescent="0.6">
      <c r="A40" s="19"/>
    </row>
    <row r="41" spans="1:3" x14ac:dyDescent="0.6">
      <c r="A41" s="19"/>
    </row>
    <row r="42" spans="1:3" x14ac:dyDescent="0.6">
      <c r="A42" s="19"/>
    </row>
  </sheetData>
  <pageMargins left="0.7" right="0.7" top="0.75" bottom="0.75" header="0.3" footer="0.3"/>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C6" sqref="C6:C7"/>
    </sheetView>
  </sheetViews>
  <sheetFormatPr defaultRowHeight="17" x14ac:dyDescent="0.6"/>
  <cols>
    <col min="1" max="1" width="8.7265625" style="6"/>
    <col min="2" max="2" width="22.08984375" style="6" customWidth="1"/>
    <col min="3" max="3" width="18.81640625" style="6" bestFit="1" customWidth="1"/>
    <col min="4" max="16384" width="8.7265625" style="6"/>
  </cols>
  <sheetData>
    <row r="1" spans="1:4" x14ac:dyDescent="0.6">
      <c r="A1" s="5" t="s">
        <v>23</v>
      </c>
    </row>
    <row r="3" spans="1:4" x14ac:dyDescent="0.6">
      <c r="A3" s="110" t="s">
        <v>24</v>
      </c>
      <c r="B3" s="111" t="s">
        <v>25</v>
      </c>
      <c r="C3" s="112" t="s">
        <v>4</v>
      </c>
    </row>
    <row r="4" spans="1:4" x14ac:dyDescent="0.6">
      <c r="A4" s="26">
        <v>1</v>
      </c>
      <c r="B4" s="6" t="s">
        <v>26</v>
      </c>
      <c r="C4" s="16">
        <f>C8*10%</f>
        <v>5.95</v>
      </c>
      <c r="D4" s="28"/>
    </row>
    <row r="5" spans="1:4" x14ac:dyDescent="0.6">
      <c r="A5" s="26">
        <v>2</v>
      </c>
      <c r="B5" s="6" t="s">
        <v>27</v>
      </c>
      <c r="C5" s="16">
        <v>0</v>
      </c>
      <c r="D5" s="29"/>
    </row>
    <row r="6" spans="1:4" x14ac:dyDescent="0.6">
      <c r="A6" s="26">
        <v>3</v>
      </c>
      <c r="B6" s="6" t="s">
        <v>28</v>
      </c>
      <c r="C6" s="14">
        <f>C8-C4-C7</f>
        <v>49.059999999999995</v>
      </c>
      <c r="D6" s="28"/>
    </row>
    <row r="7" spans="1:4" x14ac:dyDescent="0.6">
      <c r="A7" s="26">
        <v>4</v>
      </c>
      <c r="B7" s="6" t="s">
        <v>29</v>
      </c>
      <c r="C7" s="14">
        <f>'Ann 1'!C25</f>
        <v>4.49</v>
      </c>
    </row>
    <row r="8" spans="1:4" s="5" customFormat="1" x14ac:dyDescent="0.6">
      <c r="A8" s="32"/>
      <c r="B8" s="33" t="s">
        <v>313</v>
      </c>
      <c r="C8" s="129">
        <f>'Ann 1'!C39</f>
        <v>59.5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dimension ref="A1:G21"/>
  <sheetViews>
    <sheetView workbookViewId="0"/>
  </sheetViews>
  <sheetFormatPr defaultRowHeight="17" x14ac:dyDescent="0.6"/>
  <cols>
    <col min="1" max="1" width="3.6328125" style="6" customWidth="1"/>
    <col min="2" max="2" width="33.54296875" style="6" customWidth="1"/>
    <col min="3" max="3" width="8.7265625" style="6"/>
    <col min="4" max="4" width="12.7265625" style="6" bestFit="1" customWidth="1"/>
    <col min="5" max="5" width="8.7265625" style="6"/>
    <col min="6" max="6" width="10.54296875" style="6" customWidth="1"/>
    <col min="7" max="7" width="12.1796875" style="6" bestFit="1" customWidth="1"/>
    <col min="8" max="8" width="8.7265625" style="6"/>
    <col min="9" max="9" width="9.1796875" style="6" bestFit="1" customWidth="1"/>
    <col min="10" max="16384" width="8.7265625" style="6"/>
  </cols>
  <sheetData>
    <row r="1" spans="1:7" x14ac:dyDescent="0.6">
      <c r="A1" s="5" t="s">
        <v>30</v>
      </c>
    </row>
    <row r="3" spans="1:7" s="5" customFormat="1" x14ac:dyDescent="0.6">
      <c r="A3" s="113" t="s">
        <v>244</v>
      </c>
      <c r="B3" s="114"/>
      <c r="C3" s="114"/>
      <c r="D3" s="114"/>
      <c r="E3" s="114" t="s">
        <v>31</v>
      </c>
      <c r="F3" s="114"/>
      <c r="G3" s="115" t="s">
        <v>32</v>
      </c>
    </row>
    <row r="4" spans="1:7" x14ac:dyDescent="0.6">
      <c r="A4" s="34">
        <v>1</v>
      </c>
      <c r="B4" s="35" t="s">
        <v>245</v>
      </c>
      <c r="C4" s="36"/>
      <c r="D4" s="37"/>
      <c r="E4" s="37">
        <v>1</v>
      </c>
      <c r="F4" s="38"/>
      <c r="G4" s="39">
        <f>'Ann 1'!C16*100000</f>
        <v>2000000</v>
      </c>
    </row>
    <row r="5" spans="1:7" x14ac:dyDescent="0.6">
      <c r="A5" s="40" t="s">
        <v>246</v>
      </c>
      <c r="B5" s="41"/>
      <c r="C5" s="41"/>
      <c r="D5" s="41"/>
      <c r="E5" s="41"/>
      <c r="F5" s="41"/>
      <c r="G5" s="42">
        <f>SUM(G4:G4)</f>
        <v>2000000</v>
      </c>
    </row>
    <row r="6" spans="1:7" x14ac:dyDescent="0.6">
      <c r="A6" s="30"/>
      <c r="B6" s="31"/>
      <c r="C6" s="31"/>
      <c r="D6" s="31"/>
      <c r="E6" s="31"/>
      <c r="F6" s="31"/>
      <c r="G6" s="43"/>
    </row>
    <row r="7" spans="1:7" s="5" customFormat="1" x14ac:dyDescent="0.6">
      <c r="A7" s="113" t="s">
        <v>33</v>
      </c>
      <c r="B7" s="116"/>
      <c r="C7" s="114"/>
      <c r="D7" s="114"/>
      <c r="E7" s="114" t="s">
        <v>31</v>
      </c>
      <c r="F7" s="114"/>
      <c r="G7" s="115" t="s">
        <v>32</v>
      </c>
    </row>
    <row r="8" spans="1:7" ht="18.5" x14ac:dyDescent="0.6">
      <c r="A8" s="34">
        <v>1</v>
      </c>
      <c r="B8" s="128" t="s">
        <v>305</v>
      </c>
      <c r="C8" s="36"/>
      <c r="D8" s="37"/>
      <c r="E8" s="37">
        <v>1</v>
      </c>
      <c r="F8" s="38"/>
      <c r="G8" s="130">
        <v>3200000</v>
      </c>
    </row>
    <row r="9" spans="1:7" ht="18.5" x14ac:dyDescent="0.6">
      <c r="A9" s="26">
        <v>2</v>
      </c>
      <c r="B9" s="128" t="s">
        <v>306</v>
      </c>
      <c r="C9" s="27"/>
      <c r="D9" s="44"/>
      <c r="E9" s="44">
        <v>1</v>
      </c>
      <c r="F9" s="45"/>
      <c r="G9" s="131"/>
    </row>
    <row r="10" spans="1:7" ht="18.5" x14ac:dyDescent="0.6">
      <c r="A10" s="26">
        <v>3</v>
      </c>
      <c r="B10" s="128" t="s">
        <v>304</v>
      </c>
      <c r="C10" s="27"/>
      <c r="D10" s="44"/>
      <c r="E10" s="44">
        <v>1</v>
      </c>
      <c r="F10" s="45"/>
      <c r="G10" s="131"/>
    </row>
    <row r="11" spans="1:7" ht="18.5" x14ac:dyDescent="0.6">
      <c r="A11" s="26">
        <v>4</v>
      </c>
      <c r="B11" s="128" t="s">
        <v>307</v>
      </c>
      <c r="C11" s="27"/>
      <c r="D11" s="44"/>
      <c r="E11" s="44">
        <v>1</v>
      </c>
      <c r="F11" s="45"/>
      <c r="G11" s="131"/>
    </row>
    <row r="12" spans="1:7" ht="18.5" x14ac:dyDescent="0.6">
      <c r="A12" s="26">
        <v>5</v>
      </c>
      <c r="B12" s="128" t="s">
        <v>308</v>
      </c>
      <c r="C12" s="27"/>
      <c r="D12" s="44"/>
      <c r="E12" s="44">
        <v>1</v>
      </c>
      <c r="F12" s="45"/>
      <c r="G12" s="131"/>
    </row>
    <row r="13" spans="1:7" ht="18.5" x14ac:dyDescent="0.6">
      <c r="A13" s="26">
        <v>6</v>
      </c>
      <c r="B13" s="128" t="s">
        <v>309</v>
      </c>
      <c r="C13" s="27"/>
      <c r="D13" s="44"/>
      <c r="E13" s="44">
        <v>1</v>
      </c>
      <c r="F13" s="45"/>
      <c r="G13" s="131"/>
    </row>
    <row r="14" spans="1:7" ht="18.5" x14ac:dyDescent="0.6">
      <c r="A14" s="26">
        <v>7</v>
      </c>
      <c r="B14" s="128" t="s">
        <v>310</v>
      </c>
      <c r="C14" s="27"/>
      <c r="D14" s="44"/>
      <c r="E14" s="44">
        <v>1</v>
      </c>
      <c r="F14" s="45"/>
      <c r="G14" s="131"/>
    </row>
    <row r="15" spans="1:7" ht="18.5" x14ac:dyDescent="0.6">
      <c r="A15" s="26">
        <v>8</v>
      </c>
      <c r="B15" s="128" t="s">
        <v>311</v>
      </c>
      <c r="C15" s="27"/>
      <c r="D15" s="44"/>
      <c r="E15" s="44">
        <v>1</v>
      </c>
      <c r="F15" s="45"/>
      <c r="G15" s="131"/>
    </row>
    <row r="16" spans="1:7" ht="18.5" x14ac:dyDescent="0.6">
      <c r="A16" s="26">
        <v>9</v>
      </c>
      <c r="B16" s="128" t="s">
        <v>312</v>
      </c>
      <c r="C16" s="27"/>
      <c r="D16" s="44"/>
      <c r="E16" s="44">
        <v>1</v>
      </c>
      <c r="F16" s="45"/>
      <c r="G16" s="132"/>
    </row>
    <row r="17" spans="1:7" s="5" customFormat="1" x14ac:dyDescent="0.6">
      <c r="A17" s="32" t="s">
        <v>34</v>
      </c>
      <c r="B17" s="41"/>
      <c r="C17" s="33"/>
      <c r="D17" s="33"/>
      <c r="E17" s="33"/>
      <c r="F17" s="33"/>
      <c r="G17" s="46">
        <f>SUM(G8:G16)</f>
        <v>3200000</v>
      </c>
    </row>
    <row r="18" spans="1:7" x14ac:dyDescent="0.6">
      <c r="A18" s="26"/>
      <c r="B18" s="27"/>
      <c r="C18" s="27"/>
      <c r="D18" s="27"/>
      <c r="E18" s="27"/>
      <c r="F18" s="27"/>
      <c r="G18" s="13"/>
    </row>
    <row r="19" spans="1:7" s="5" customFormat="1" x14ac:dyDescent="0.6">
      <c r="A19" s="32" t="s">
        <v>35</v>
      </c>
      <c r="B19" s="33"/>
      <c r="C19" s="33"/>
      <c r="D19" s="33"/>
      <c r="E19" s="33"/>
      <c r="F19" s="33"/>
      <c r="G19" s="46">
        <f>G17+G5</f>
        <v>5200000</v>
      </c>
    </row>
    <row r="20" spans="1:7" x14ac:dyDescent="0.6">
      <c r="G20" s="47"/>
    </row>
    <row r="21" spans="1:7" x14ac:dyDescent="0.6">
      <c r="G21" s="48"/>
    </row>
  </sheetData>
  <mergeCells count="1">
    <mergeCell ref="G8:G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1"/>
  <sheetViews>
    <sheetView topLeftCell="C26" workbookViewId="0">
      <selection activeCell="G31" sqref="G31"/>
    </sheetView>
  </sheetViews>
  <sheetFormatPr defaultRowHeight="17" x14ac:dyDescent="0.6"/>
  <cols>
    <col min="1" max="1" width="8.7265625" style="6"/>
    <col min="2" max="2" width="55.7265625" style="6" bestFit="1" customWidth="1"/>
    <col min="3" max="11" width="15.6328125" style="6" bestFit="1" customWidth="1"/>
    <col min="12" max="16384" width="8.7265625" style="6"/>
  </cols>
  <sheetData>
    <row r="1" spans="1:11" x14ac:dyDescent="0.6">
      <c r="A1" s="5" t="s">
        <v>36</v>
      </c>
    </row>
    <row r="3" spans="1:11" x14ac:dyDescent="0.6">
      <c r="A3" s="116" t="s">
        <v>37</v>
      </c>
      <c r="B3" s="116" t="s">
        <v>38</v>
      </c>
      <c r="C3" s="133" t="s">
        <v>48</v>
      </c>
      <c r="D3" s="133"/>
      <c r="E3" s="133"/>
      <c r="F3" s="133"/>
      <c r="G3" s="133"/>
      <c r="H3" s="133"/>
      <c r="I3" s="133"/>
      <c r="J3" s="133"/>
      <c r="K3" s="133"/>
    </row>
    <row r="4" spans="1:11" x14ac:dyDescent="0.6">
      <c r="A4" s="116"/>
      <c r="B4" s="116"/>
      <c r="C4" s="116" t="s">
        <v>39</v>
      </c>
      <c r="D4" s="116" t="s">
        <v>40</v>
      </c>
      <c r="E4" s="116" t="s">
        <v>41</v>
      </c>
      <c r="F4" s="116" t="s">
        <v>42</v>
      </c>
      <c r="G4" s="116" t="s">
        <v>43</v>
      </c>
      <c r="H4" s="116" t="s">
        <v>44</v>
      </c>
      <c r="I4" s="116" t="s">
        <v>45</v>
      </c>
      <c r="J4" s="116" t="s">
        <v>46</v>
      </c>
      <c r="K4" s="116" t="s">
        <v>47</v>
      </c>
    </row>
    <row r="5" spans="1:11" x14ac:dyDescent="0.6">
      <c r="A5" s="8"/>
      <c r="B5" s="8" t="s">
        <v>49</v>
      </c>
      <c r="C5" s="8">
        <v>12</v>
      </c>
      <c r="D5" s="8">
        <v>12</v>
      </c>
      <c r="E5" s="8">
        <v>12</v>
      </c>
      <c r="F5" s="8">
        <v>12</v>
      </c>
      <c r="G5" s="8">
        <v>12</v>
      </c>
      <c r="H5" s="8">
        <v>12</v>
      </c>
      <c r="I5" s="8">
        <v>12</v>
      </c>
      <c r="J5" s="8">
        <v>12</v>
      </c>
      <c r="K5" s="8">
        <v>12</v>
      </c>
    </row>
    <row r="6" spans="1:11" x14ac:dyDescent="0.6">
      <c r="A6" s="8"/>
      <c r="B6" s="8"/>
      <c r="C6" s="8"/>
      <c r="D6" s="8"/>
      <c r="E6" s="8"/>
      <c r="F6" s="8"/>
      <c r="G6" s="8"/>
      <c r="H6" s="8"/>
      <c r="I6" s="8"/>
      <c r="J6" s="8"/>
      <c r="K6" s="8"/>
    </row>
    <row r="7" spans="1:11" x14ac:dyDescent="0.6">
      <c r="A7" s="8"/>
      <c r="B7" s="8" t="s">
        <v>170</v>
      </c>
      <c r="C7" s="49">
        <f>120000+C40</f>
        <v>870000</v>
      </c>
      <c r="D7" s="49">
        <f t="shared" ref="D7:K7" si="0">120000+D40</f>
        <v>1222500</v>
      </c>
      <c r="E7" s="49">
        <f t="shared" si="0"/>
        <v>1277625</v>
      </c>
      <c r="F7" s="49">
        <f t="shared" si="0"/>
        <v>1335506.25</v>
      </c>
      <c r="G7" s="49">
        <f t="shared" si="0"/>
        <v>1396281.5625</v>
      </c>
      <c r="H7" s="49">
        <f t="shared" si="0"/>
        <v>1460095.640625</v>
      </c>
      <c r="I7" s="49">
        <f t="shared" si="0"/>
        <v>1527100.42265625</v>
      </c>
      <c r="J7" s="49">
        <f t="shared" si="0"/>
        <v>1527100.42265625</v>
      </c>
      <c r="K7" s="49">
        <f t="shared" si="0"/>
        <v>1527100.42265625</v>
      </c>
    </row>
    <row r="8" spans="1:11" x14ac:dyDescent="0.6">
      <c r="A8" s="8"/>
      <c r="B8" s="8" t="s">
        <v>262</v>
      </c>
      <c r="C8" s="49">
        <f>2%*'Ann 3'!G17</f>
        <v>64000</v>
      </c>
      <c r="D8" s="49">
        <f>C8*1.05</f>
        <v>67200</v>
      </c>
      <c r="E8" s="49">
        <f t="shared" ref="E8:K8" si="1">D8*1.05</f>
        <v>70560</v>
      </c>
      <c r="F8" s="49">
        <f t="shared" si="1"/>
        <v>74088</v>
      </c>
      <c r="G8" s="49">
        <f t="shared" si="1"/>
        <v>77792.400000000009</v>
      </c>
      <c r="H8" s="49">
        <f t="shared" si="1"/>
        <v>81682.020000000019</v>
      </c>
      <c r="I8" s="49">
        <f t="shared" si="1"/>
        <v>85766.121000000028</v>
      </c>
      <c r="J8" s="49">
        <f t="shared" si="1"/>
        <v>90054.427050000028</v>
      </c>
      <c r="K8" s="49">
        <f t="shared" si="1"/>
        <v>94557.148402500039</v>
      </c>
    </row>
    <row r="9" spans="1:11" x14ac:dyDescent="0.6">
      <c r="A9" s="8"/>
      <c r="B9" s="8" t="s">
        <v>301</v>
      </c>
      <c r="C9" s="49">
        <v>500000</v>
      </c>
      <c r="D9" s="49">
        <v>500000</v>
      </c>
      <c r="E9" s="49">
        <v>500000</v>
      </c>
      <c r="F9" s="49">
        <v>500000</v>
      </c>
      <c r="G9" s="49">
        <v>500000</v>
      </c>
      <c r="H9" s="49">
        <v>500000</v>
      </c>
      <c r="I9" s="49">
        <v>500000</v>
      </c>
      <c r="J9" s="49">
        <v>500000</v>
      </c>
      <c r="K9" s="49">
        <v>500000</v>
      </c>
    </row>
    <row r="10" spans="1:11" x14ac:dyDescent="0.6">
      <c r="A10" s="8"/>
      <c r="B10" s="8" t="s">
        <v>287</v>
      </c>
      <c r="C10" s="49">
        <f>C19*20%</f>
        <v>2940000</v>
      </c>
      <c r="D10" s="49">
        <f t="shared" ref="D10:K10" si="2">D19*20%</f>
        <v>3375000</v>
      </c>
      <c r="E10" s="49">
        <f t="shared" si="2"/>
        <v>3600000</v>
      </c>
      <c r="F10" s="49">
        <f t="shared" si="2"/>
        <v>3825000</v>
      </c>
      <c r="G10" s="49">
        <f t="shared" si="2"/>
        <v>4050000</v>
      </c>
      <c r="H10" s="49">
        <f t="shared" si="2"/>
        <v>4275000</v>
      </c>
      <c r="I10" s="49">
        <f t="shared" si="2"/>
        <v>4500000</v>
      </c>
      <c r="J10" s="49">
        <f t="shared" si="2"/>
        <v>4500000</v>
      </c>
      <c r="K10" s="49">
        <f t="shared" si="2"/>
        <v>4500000</v>
      </c>
    </row>
    <row r="11" spans="1:11" x14ac:dyDescent="0.6">
      <c r="A11" s="8"/>
      <c r="B11" s="8" t="s">
        <v>172</v>
      </c>
      <c r="C11" s="49">
        <f t="shared" ref="C11:K11" si="3">SUM(C7:C10)</f>
        <v>4374000</v>
      </c>
      <c r="D11" s="49">
        <f t="shared" si="3"/>
        <v>5164700</v>
      </c>
      <c r="E11" s="49">
        <f t="shared" si="3"/>
        <v>5448185</v>
      </c>
      <c r="F11" s="49">
        <f t="shared" si="3"/>
        <v>5734594.25</v>
      </c>
      <c r="G11" s="49">
        <f t="shared" si="3"/>
        <v>6024073.9625000004</v>
      </c>
      <c r="H11" s="49">
        <f t="shared" si="3"/>
        <v>6316777.6606249996</v>
      </c>
      <c r="I11" s="49">
        <f t="shared" si="3"/>
        <v>6612866.5436562505</v>
      </c>
      <c r="J11" s="49">
        <f t="shared" si="3"/>
        <v>6617154.8497062502</v>
      </c>
      <c r="K11" s="49">
        <f t="shared" si="3"/>
        <v>6621657.5710587502</v>
      </c>
    </row>
    <row r="12" spans="1:11" x14ac:dyDescent="0.6">
      <c r="A12" s="8"/>
      <c r="B12" s="8" t="s">
        <v>173</v>
      </c>
      <c r="C12" s="49">
        <f>SUM(C11)</f>
        <v>4374000</v>
      </c>
      <c r="D12" s="49">
        <f t="shared" ref="D12:K12" si="4">SUM(D11)</f>
        <v>5164700</v>
      </c>
      <c r="E12" s="49">
        <f t="shared" si="4"/>
        <v>5448185</v>
      </c>
      <c r="F12" s="49">
        <f t="shared" si="4"/>
        <v>5734594.25</v>
      </c>
      <c r="G12" s="49">
        <f t="shared" si="4"/>
        <v>6024073.9625000004</v>
      </c>
      <c r="H12" s="49">
        <f t="shared" si="4"/>
        <v>6316777.6606249996</v>
      </c>
      <c r="I12" s="49">
        <f t="shared" si="4"/>
        <v>6612866.5436562505</v>
      </c>
      <c r="J12" s="49">
        <f t="shared" si="4"/>
        <v>6617154.8497062502</v>
      </c>
      <c r="K12" s="49">
        <f t="shared" si="4"/>
        <v>6621657.5710587502</v>
      </c>
    </row>
    <row r="13" spans="1:11" x14ac:dyDescent="0.6">
      <c r="A13" s="8"/>
      <c r="B13" s="8"/>
      <c r="C13" s="49"/>
      <c r="D13" s="49"/>
      <c r="E13" s="49"/>
      <c r="F13" s="49"/>
      <c r="G13" s="49"/>
      <c r="H13" s="49"/>
      <c r="I13" s="49"/>
      <c r="J13" s="49"/>
      <c r="K13" s="49"/>
    </row>
    <row r="14" spans="1:11" x14ac:dyDescent="0.6">
      <c r="A14" s="8"/>
      <c r="B14" s="8" t="s">
        <v>51</v>
      </c>
      <c r="C14" s="49">
        <f>'Ann 8'!E14</f>
        <v>1317360</v>
      </c>
      <c r="D14" s="49">
        <f>1.07*C14</f>
        <v>1409575.2000000002</v>
      </c>
      <c r="E14" s="49">
        <f t="shared" ref="E14:K14" si="5">1.07*D14</f>
        <v>1508245.4640000004</v>
      </c>
      <c r="F14" s="49">
        <f t="shared" si="5"/>
        <v>1613822.6464800006</v>
      </c>
      <c r="G14" s="49">
        <f t="shared" si="5"/>
        <v>1726790.2317336006</v>
      </c>
      <c r="H14" s="49">
        <f t="shared" si="5"/>
        <v>1847665.5479549528</v>
      </c>
      <c r="I14" s="49">
        <f t="shared" si="5"/>
        <v>1977002.1363117995</v>
      </c>
      <c r="J14" s="49">
        <f t="shared" si="5"/>
        <v>2115392.2858536257</v>
      </c>
      <c r="K14" s="49">
        <f t="shared" si="5"/>
        <v>2263469.7458633794</v>
      </c>
    </row>
    <row r="15" spans="1:11" x14ac:dyDescent="0.6">
      <c r="A15" s="8"/>
      <c r="B15" s="8" t="s">
        <v>276</v>
      </c>
      <c r="C15" s="49">
        <v>200000</v>
      </c>
      <c r="D15" s="49">
        <v>200000</v>
      </c>
      <c r="E15" s="49">
        <v>200000</v>
      </c>
      <c r="F15" s="49">
        <v>200000</v>
      </c>
      <c r="G15" s="49">
        <v>200000</v>
      </c>
      <c r="H15" s="49">
        <v>200000</v>
      </c>
      <c r="I15" s="49">
        <v>200000</v>
      </c>
      <c r="J15" s="49">
        <v>200000</v>
      </c>
      <c r="K15" s="49">
        <v>200000</v>
      </c>
    </row>
    <row r="16" spans="1:11" x14ac:dyDescent="0.6">
      <c r="A16" s="8"/>
      <c r="B16" s="8" t="s">
        <v>8</v>
      </c>
      <c r="C16" s="49">
        <f>SUM(C14:C15)</f>
        <v>1517360</v>
      </c>
      <c r="D16" s="49">
        <f t="shared" ref="D16:K16" si="6">SUM(D14:D15)</f>
        <v>1609575.2000000002</v>
      </c>
      <c r="E16" s="49">
        <f t="shared" si="6"/>
        <v>1708245.4640000004</v>
      </c>
      <c r="F16" s="49">
        <f t="shared" si="6"/>
        <v>1813822.6464800006</v>
      </c>
      <c r="G16" s="49">
        <f t="shared" si="6"/>
        <v>1926790.2317336006</v>
      </c>
      <c r="H16" s="49">
        <f t="shared" si="6"/>
        <v>2047665.5479549528</v>
      </c>
      <c r="I16" s="49">
        <f t="shared" si="6"/>
        <v>2177002.1363117993</v>
      </c>
      <c r="J16" s="49">
        <f t="shared" si="6"/>
        <v>2315392.2858536257</v>
      </c>
      <c r="K16" s="49">
        <f t="shared" si="6"/>
        <v>2463469.7458633794</v>
      </c>
    </row>
    <row r="17" spans="1:11" x14ac:dyDescent="0.6">
      <c r="A17" s="8"/>
      <c r="B17" s="8"/>
      <c r="C17" s="49"/>
      <c r="D17" s="49"/>
      <c r="E17" s="49"/>
      <c r="F17" s="49"/>
      <c r="G17" s="49"/>
      <c r="H17" s="49"/>
      <c r="I17" s="49"/>
      <c r="J17" s="49"/>
      <c r="K17" s="49"/>
    </row>
    <row r="18" spans="1:11" x14ac:dyDescent="0.6">
      <c r="A18" s="8"/>
      <c r="B18" s="8" t="s">
        <v>85</v>
      </c>
      <c r="C18" s="49">
        <f t="shared" ref="C18:K18" si="7">C16+C12</f>
        <v>5891360</v>
      </c>
      <c r="D18" s="49">
        <f t="shared" si="7"/>
        <v>6774275.2000000002</v>
      </c>
      <c r="E18" s="49">
        <f t="shared" si="7"/>
        <v>7156430.4640000006</v>
      </c>
      <c r="F18" s="49">
        <f t="shared" si="7"/>
        <v>7548416.8964800006</v>
      </c>
      <c r="G18" s="49">
        <f t="shared" si="7"/>
        <v>7950864.194233601</v>
      </c>
      <c r="H18" s="49">
        <f t="shared" si="7"/>
        <v>8364443.2085799519</v>
      </c>
      <c r="I18" s="49">
        <f t="shared" si="7"/>
        <v>8789868.6799680497</v>
      </c>
      <c r="J18" s="49">
        <f t="shared" si="7"/>
        <v>8932547.1355598755</v>
      </c>
      <c r="K18" s="49">
        <f t="shared" si="7"/>
        <v>9085127.3169221301</v>
      </c>
    </row>
    <row r="19" spans="1:11" x14ac:dyDescent="0.6">
      <c r="A19" s="8"/>
      <c r="B19" s="8" t="s">
        <v>86</v>
      </c>
      <c r="C19" s="49">
        <f>Budgets!B8+Budgets!B7</f>
        <v>14700000</v>
      </c>
      <c r="D19" s="49">
        <f>Budgets!C8+Budgets!C7</f>
        <v>16875000</v>
      </c>
      <c r="E19" s="49">
        <f>Budgets!D8+Budgets!D7</f>
        <v>18000000</v>
      </c>
      <c r="F19" s="49">
        <f>Budgets!E8+Budgets!E7</f>
        <v>19125000</v>
      </c>
      <c r="G19" s="49">
        <f>Budgets!F8+Budgets!F7</f>
        <v>20250000</v>
      </c>
      <c r="H19" s="49">
        <f>Budgets!G8+Budgets!G7</f>
        <v>21375000</v>
      </c>
      <c r="I19" s="49">
        <f>Budgets!H8+Budgets!H7</f>
        <v>22500000</v>
      </c>
      <c r="J19" s="49">
        <f>Budgets!I8+Budgets!I7</f>
        <v>22500000</v>
      </c>
      <c r="K19" s="49">
        <f>Budgets!J8+Budgets!J7</f>
        <v>22500000</v>
      </c>
    </row>
    <row r="20" spans="1:11" x14ac:dyDescent="0.6">
      <c r="A20" s="8"/>
      <c r="B20" s="8" t="s">
        <v>87</v>
      </c>
      <c r="C20" s="49">
        <f>C19-C18</f>
        <v>8808640</v>
      </c>
      <c r="D20" s="49">
        <f t="shared" ref="D20:K20" si="8">D19-D18</f>
        <v>10100724.800000001</v>
      </c>
      <c r="E20" s="49">
        <f t="shared" si="8"/>
        <v>10843569.535999998</v>
      </c>
      <c r="F20" s="49">
        <f t="shared" si="8"/>
        <v>11576583.103519998</v>
      </c>
      <c r="G20" s="49">
        <f t="shared" si="8"/>
        <v>12299135.8057664</v>
      </c>
      <c r="H20" s="49">
        <f t="shared" si="8"/>
        <v>13010556.791420048</v>
      </c>
      <c r="I20" s="49">
        <f t="shared" si="8"/>
        <v>13710131.32003195</v>
      </c>
      <c r="J20" s="49">
        <f t="shared" si="8"/>
        <v>13567452.864440124</v>
      </c>
      <c r="K20" s="49">
        <f t="shared" si="8"/>
        <v>13414872.68307787</v>
      </c>
    </row>
    <row r="21" spans="1:11" x14ac:dyDescent="0.6">
      <c r="A21" s="8"/>
      <c r="B21" s="8"/>
      <c r="C21" s="49"/>
      <c r="D21" s="49"/>
      <c r="E21" s="49"/>
      <c r="F21" s="49"/>
      <c r="G21" s="49"/>
      <c r="H21" s="49"/>
      <c r="I21" s="49"/>
      <c r="J21" s="49"/>
      <c r="K21" s="49"/>
    </row>
    <row r="22" spans="1:11" x14ac:dyDescent="0.6">
      <c r="A22" s="8"/>
      <c r="B22" s="8" t="s">
        <v>88</v>
      </c>
      <c r="C22" s="49"/>
      <c r="D22" s="49"/>
      <c r="E22" s="49"/>
      <c r="F22" s="49"/>
      <c r="G22" s="49"/>
      <c r="H22" s="49"/>
      <c r="I22" s="49"/>
      <c r="J22" s="49"/>
      <c r="K22" s="49"/>
    </row>
    <row r="23" spans="1:11" x14ac:dyDescent="0.6">
      <c r="A23" s="8"/>
      <c r="B23" s="8" t="s">
        <v>89</v>
      </c>
      <c r="C23" s="49">
        <f>SUM('Ann 13'!E10:E13)*100000</f>
        <v>291529.61538461532</v>
      </c>
      <c r="D23" s="49">
        <f>SUM('Ann 13'!E14:E17)*100000</f>
        <v>254734.61538461538</v>
      </c>
      <c r="E23" s="49">
        <f>SUM('Ann 13'!E18:E21)*100000</f>
        <v>209448.46153846156</v>
      </c>
      <c r="F23" s="49">
        <f>SUM('Ann 13'!E22:E25)*100000</f>
        <v>164162.30769230775</v>
      </c>
      <c r="G23" s="49">
        <f>SUM('Ann 13'!E26:E29)*100000</f>
        <v>118876.15384615396</v>
      </c>
      <c r="H23" s="49">
        <f>SUM('Ann 13'!E30:E33)*100000</f>
        <v>59438.076923077009</v>
      </c>
      <c r="I23" s="49">
        <f>SUM('Ann 13'!E34:E37)*100000</f>
        <v>0</v>
      </c>
      <c r="J23" s="49">
        <v>0</v>
      </c>
      <c r="K23" s="49">
        <v>0</v>
      </c>
    </row>
    <row r="24" spans="1:11" x14ac:dyDescent="0.6">
      <c r="A24" s="8"/>
      <c r="B24" s="8" t="s">
        <v>164</v>
      </c>
      <c r="C24" s="49">
        <f>'Ann 1'!$C$25*100000*10%</f>
        <v>44900</v>
      </c>
      <c r="D24" s="49">
        <f>'Ann 1'!$C$25*100000*10%</f>
        <v>44900</v>
      </c>
      <c r="E24" s="49">
        <f>'Ann 1'!$C$25*100000*10%</f>
        <v>44900</v>
      </c>
      <c r="F24" s="49">
        <f>'Ann 1'!$C$25*100000*10%</f>
        <v>44900</v>
      </c>
      <c r="G24" s="49">
        <f>'Ann 1'!$C$25*100000*10%</f>
        <v>44900</v>
      </c>
      <c r="H24" s="49">
        <f>'Ann 1'!$C$25*100000*10%</f>
        <v>44900</v>
      </c>
      <c r="I24" s="49">
        <f>'Ann 1'!$C$25*100000*10%</f>
        <v>44900</v>
      </c>
      <c r="J24" s="49">
        <f>'Ann 1'!$C$25*100000*10%</f>
        <v>44900</v>
      </c>
      <c r="K24" s="49">
        <f>'Ann 1'!$C$25*100000*10%</f>
        <v>44900</v>
      </c>
    </row>
    <row r="25" spans="1:11" x14ac:dyDescent="0.6">
      <c r="A25" s="8"/>
      <c r="B25" s="20" t="s">
        <v>99</v>
      </c>
      <c r="C25" s="49">
        <f>SUM(C23:C24)</f>
        <v>336429.61538461532</v>
      </c>
      <c r="D25" s="49">
        <f t="shared" ref="D25:K25" si="9">SUM(D23:D24)</f>
        <v>299634.61538461538</v>
      </c>
      <c r="E25" s="49">
        <f t="shared" si="9"/>
        <v>254348.46153846156</v>
      </c>
      <c r="F25" s="49">
        <f t="shared" si="9"/>
        <v>209062.30769230775</v>
      </c>
      <c r="G25" s="49">
        <f t="shared" si="9"/>
        <v>163776.15384615396</v>
      </c>
      <c r="H25" s="49">
        <f t="shared" si="9"/>
        <v>104338.07692307701</v>
      </c>
      <c r="I25" s="49">
        <f t="shared" si="9"/>
        <v>44900</v>
      </c>
      <c r="J25" s="49">
        <f t="shared" si="9"/>
        <v>44900</v>
      </c>
      <c r="K25" s="49">
        <f t="shared" si="9"/>
        <v>44900</v>
      </c>
    </row>
    <row r="26" spans="1:11" x14ac:dyDescent="0.6">
      <c r="A26" s="8"/>
      <c r="B26" s="8"/>
      <c r="C26" s="49"/>
      <c r="D26" s="49"/>
      <c r="E26" s="49"/>
      <c r="F26" s="49"/>
      <c r="G26" s="49"/>
      <c r="H26" s="49"/>
      <c r="I26" s="49"/>
      <c r="J26" s="49"/>
      <c r="K26" s="49"/>
    </row>
    <row r="27" spans="1:11" x14ac:dyDescent="0.6">
      <c r="A27" s="8"/>
      <c r="B27" s="8" t="s">
        <v>100</v>
      </c>
      <c r="C27" s="49">
        <f t="shared" ref="C27:K27" si="10">C20-C25</f>
        <v>8472210.384615384</v>
      </c>
      <c r="D27" s="49">
        <f t="shared" si="10"/>
        <v>9801090.1846153848</v>
      </c>
      <c r="E27" s="49">
        <f t="shared" si="10"/>
        <v>10589221.074461536</v>
      </c>
      <c r="F27" s="49">
        <f t="shared" si="10"/>
        <v>11367520.795827691</v>
      </c>
      <c r="G27" s="49">
        <f t="shared" si="10"/>
        <v>12135359.651920246</v>
      </c>
      <c r="H27" s="49">
        <f t="shared" si="10"/>
        <v>12906218.71449697</v>
      </c>
      <c r="I27" s="49">
        <f t="shared" si="10"/>
        <v>13665231.32003195</v>
      </c>
      <c r="J27" s="49">
        <f t="shared" si="10"/>
        <v>13522552.864440124</v>
      </c>
      <c r="K27" s="49">
        <f t="shared" si="10"/>
        <v>13369972.68307787</v>
      </c>
    </row>
    <row r="28" spans="1:11" x14ac:dyDescent="0.6">
      <c r="A28" s="8"/>
      <c r="B28" s="8" t="s">
        <v>175</v>
      </c>
      <c r="C28" s="49">
        <f>'Ann 1'!C33*100000</f>
        <v>51000</v>
      </c>
      <c r="D28" s="49">
        <v>0</v>
      </c>
      <c r="E28" s="49">
        <v>0</v>
      </c>
      <c r="F28" s="49">
        <v>0</v>
      </c>
      <c r="G28" s="49">
        <v>0</v>
      </c>
      <c r="H28" s="49">
        <v>0</v>
      </c>
      <c r="I28" s="49">
        <v>0</v>
      </c>
      <c r="J28" s="49">
        <v>0</v>
      </c>
      <c r="K28" s="49">
        <v>0</v>
      </c>
    </row>
    <row r="29" spans="1:11" x14ac:dyDescent="0.6">
      <c r="A29" s="8"/>
      <c r="B29" s="20" t="s">
        <v>101</v>
      </c>
      <c r="C29" s="49">
        <f>'Ann 9'!C12+'Ann 9'!D12+'Ann 9'!E12</f>
        <v>542500</v>
      </c>
      <c r="D29" s="49">
        <f>'Ann 9'!C13+'Ann 9'!D13+'Ann 9'!E13</f>
        <v>462375</v>
      </c>
      <c r="E29" s="49">
        <f>'Ann 9'!C14+'Ann 9'!D14+'Ann 9'!E14</f>
        <v>394143.75</v>
      </c>
      <c r="F29" s="49">
        <f>'Ann 9'!C15+'Ann 9'!D15+'Ann 9'!E15</f>
        <v>336034.6875</v>
      </c>
      <c r="G29" s="49">
        <f>'Ann 9'!C16+'Ann 9'!D16+'Ann 9'!E16</f>
        <v>286540.734375</v>
      </c>
      <c r="H29" s="49">
        <f>'Ann 9'!C17+'Ann 9'!D17+'Ann 9'!E17</f>
        <v>244379.74921874999</v>
      </c>
      <c r="I29" s="49">
        <f>'Ann 9'!C18+'Ann 9'!D18+'Ann 9'!E18</f>
        <v>208460.89933593749</v>
      </c>
      <c r="J29" s="49">
        <f>'Ann 9'!C19+'Ann 9'!D19+'Ann 9'!E19</f>
        <v>177856.0656855469</v>
      </c>
      <c r="K29" s="49">
        <f>'Ann 9'!C20+'Ann 9'!D20+'Ann 9'!E20</f>
        <v>151775.52695771484</v>
      </c>
    </row>
    <row r="30" spans="1:11" x14ac:dyDescent="0.6">
      <c r="A30" s="8"/>
      <c r="B30" s="20" t="s">
        <v>319</v>
      </c>
      <c r="C30" s="49">
        <v>0</v>
      </c>
      <c r="D30" s="49">
        <v>0</v>
      </c>
      <c r="E30" s="49">
        <v>0</v>
      </c>
      <c r="F30" s="49">
        <v>0</v>
      </c>
      <c r="G30" s="49">
        <v>0</v>
      </c>
      <c r="H30" s="49">
        <f>'Ann 13'!D5*100000</f>
        <v>1100200</v>
      </c>
      <c r="I30" s="49">
        <v>0</v>
      </c>
      <c r="J30" s="49">
        <v>0</v>
      </c>
      <c r="K30" s="49">
        <v>0</v>
      </c>
    </row>
    <row r="31" spans="1:11" x14ac:dyDescent="0.6">
      <c r="A31" s="8"/>
      <c r="B31" s="20" t="s">
        <v>102</v>
      </c>
      <c r="C31" s="49">
        <f>C27-C28-C29</f>
        <v>7878710.384615384</v>
      </c>
      <c r="D31" s="49">
        <f t="shared" ref="D31:G31" si="11">D27-D28-D29</f>
        <v>9338715.1846153848</v>
      </c>
      <c r="E31" s="49">
        <f t="shared" si="11"/>
        <v>10195077.324461536</v>
      </c>
      <c r="F31" s="49">
        <f t="shared" si="11"/>
        <v>11031486.108327691</v>
      </c>
      <c r="G31" s="49">
        <f t="shared" si="11"/>
        <v>11848818.917545246</v>
      </c>
      <c r="H31" s="49">
        <f>H27-H28-H29+H30</f>
        <v>13762038.965278219</v>
      </c>
      <c r="I31" s="49">
        <f t="shared" ref="I31:K31" si="12">I27-I28-I29+I30</f>
        <v>13456770.420696013</v>
      </c>
      <c r="J31" s="49">
        <f t="shared" si="12"/>
        <v>13344696.798754578</v>
      </c>
      <c r="K31" s="49">
        <f t="shared" si="12"/>
        <v>13218197.156120155</v>
      </c>
    </row>
    <row r="32" spans="1:11" x14ac:dyDescent="0.6">
      <c r="A32" s="8"/>
      <c r="B32" s="20" t="s">
        <v>103</v>
      </c>
      <c r="C32" s="49">
        <f>'Ann 10'!B14</f>
        <v>2378913.115384615</v>
      </c>
      <c r="D32" s="49">
        <f>'Ann 10'!C14</f>
        <v>2801614.5553846154</v>
      </c>
      <c r="E32" s="49">
        <f>'Ann 10'!D14</f>
        <v>3058523.1973384609</v>
      </c>
      <c r="F32" s="49">
        <f>'Ann 10'!E14</f>
        <v>3309445.8324983069</v>
      </c>
      <c r="G32" s="49">
        <f>'Ann 10'!F14</f>
        <v>3554645.6752635739</v>
      </c>
      <c r="H32" s="49">
        <f>'Ann 10'!G14</f>
        <v>3798551.6895834655</v>
      </c>
      <c r="I32" s="49">
        <f>'Ann 10'!H14</f>
        <v>4037031.1262088036</v>
      </c>
      <c r="J32" s="49">
        <f>'Ann 10'!I14</f>
        <v>4003409.0396263734</v>
      </c>
      <c r="K32" s="49">
        <f>'Ann 10'!J14</f>
        <v>3965459.1468360461</v>
      </c>
    </row>
    <row r="33" spans="1:11" x14ac:dyDescent="0.6">
      <c r="A33" s="8"/>
      <c r="B33" s="20" t="s">
        <v>104</v>
      </c>
      <c r="C33" s="49">
        <f>C31-C32</f>
        <v>5499797.269230769</v>
      </c>
      <c r="D33" s="49">
        <f>D31-D32</f>
        <v>6537100.6292307694</v>
      </c>
      <c r="E33" s="49">
        <f t="shared" ref="E33:K33" si="13">E31-E32</f>
        <v>7136554.1271230755</v>
      </c>
      <c r="F33" s="49">
        <f t="shared" si="13"/>
        <v>7722040.2758293841</v>
      </c>
      <c r="G33" s="49">
        <f t="shared" si="13"/>
        <v>8294173.2422816716</v>
      </c>
      <c r="H33" s="49">
        <f t="shared" si="13"/>
        <v>9963487.275694754</v>
      </c>
      <c r="I33" s="49">
        <f t="shared" si="13"/>
        <v>9419739.2944872081</v>
      </c>
      <c r="J33" s="49">
        <f t="shared" si="13"/>
        <v>9341287.7591282055</v>
      </c>
      <c r="K33" s="49">
        <f t="shared" si="13"/>
        <v>9252738.0092841089</v>
      </c>
    </row>
    <row r="34" spans="1:11" x14ac:dyDescent="0.6">
      <c r="A34" s="8"/>
      <c r="B34" s="20" t="s">
        <v>261</v>
      </c>
      <c r="C34" s="49">
        <f>C33*80%</f>
        <v>4399837.8153846152</v>
      </c>
      <c r="D34" s="49">
        <f t="shared" ref="D34:K34" si="14">D33*80%</f>
        <v>5229680.5033846162</v>
      </c>
      <c r="E34" s="49">
        <f t="shared" si="14"/>
        <v>5709243.3016984612</v>
      </c>
      <c r="F34" s="49">
        <f t="shared" si="14"/>
        <v>6177632.2206635075</v>
      </c>
      <c r="G34" s="49">
        <f t="shared" si="14"/>
        <v>6635338.5938253375</v>
      </c>
      <c r="H34" s="49">
        <f t="shared" si="14"/>
        <v>7970789.8205558034</v>
      </c>
      <c r="I34" s="49">
        <f t="shared" si="14"/>
        <v>7535791.4355897671</v>
      </c>
      <c r="J34" s="49">
        <f t="shared" si="14"/>
        <v>7473030.2073025648</v>
      </c>
      <c r="K34" s="49">
        <f t="shared" si="14"/>
        <v>7402190.4074272877</v>
      </c>
    </row>
    <row r="35" spans="1:11" x14ac:dyDescent="0.6">
      <c r="A35" s="8"/>
      <c r="B35" s="20" t="s">
        <v>114</v>
      </c>
      <c r="C35" s="49">
        <f>C33-C34</f>
        <v>1099959.4538461538</v>
      </c>
      <c r="D35" s="49">
        <f t="shared" ref="D35:K35" si="15">D33-D34</f>
        <v>1307420.1258461531</v>
      </c>
      <c r="E35" s="49">
        <f t="shared" si="15"/>
        <v>1427310.8254246144</v>
      </c>
      <c r="F35" s="49">
        <f t="shared" si="15"/>
        <v>1544408.0551658766</v>
      </c>
      <c r="G35" s="49">
        <f t="shared" si="15"/>
        <v>1658834.6484563341</v>
      </c>
      <c r="H35" s="49">
        <f t="shared" si="15"/>
        <v>1992697.4551389506</v>
      </c>
      <c r="I35" s="49">
        <f t="shared" si="15"/>
        <v>1883947.8588974411</v>
      </c>
      <c r="J35" s="49">
        <f t="shared" si="15"/>
        <v>1868257.5518256407</v>
      </c>
      <c r="K35" s="49">
        <f t="shared" si="15"/>
        <v>1850547.6018568212</v>
      </c>
    </row>
    <row r="37" spans="1:11" x14ac:dyDescent="0.6">
      <c r="A37" s="6" t="s">
        <v>298</v>
      </c>
    </row>
    <row r="38" spans="1:11" x14ac:dyDescent="0.6">
      <c r="A38" s="6" t="s">
        <v>299</v>
      </c>
    </row>
    <row r="39" spans="1:11" x14ac:dyDescent="0.6">
      <c r="B39" s="6" t="s">
        <v>171</v>
      </c>
      <c r="C39" s="6">
        <v>75000</v>
      </c>
      <c r="D39" s="6">
        <f>C39*1.05</f>
        <v>78750</v>
      </c>
      <c r="E39" s="6">
        <f t="shared" ref="E39:I39" si="16">D39*1.05</f>
        <v>82687.5</v>
      </c>
      <c r="F39" s="6">
        <f t="shared" si="16"/>
        <v>86821.875</v>
      </c>
      <c r="G39" s="6">
        <f t="shared" si="16"/>
        <v>91162.96875</v>
      </c>
      <c r="H39" s="6">
        <f t="shared" si="16"/>
        <v>95721.1171875</v>
      </c>
      <c r="I39" s="6">
        <f t="shared" si="16"/>
        <v>100507.173046875</v>
      </c>
      <c r="J39" s="6">
        <f>I39</f>
        <v>100507.173046875</v>
      </c>
      <c r="K39" s="6">
        <f>J39</f>
        <v>100507.173046875</v>
      </c>
    </row>
    <row r="40" spans="1:11" x14ac:dyDescent="0.6">
      <c r="B40" s="6" t="s">
        <v>71</v>
      </c>
      <c r="C40" s="6">
        <f>C39*10</f>
        <v>750000</v>
      </c>
      <c r="D40" s="6">
        <f t="shared" ref="D40:K40" si="17">D39*14</f>
        <v>1102500</v>
      </c>
      <c r="E40" s="6">
        <f t="shared" si="17"/>
        <v>1157625</v>
      </c>
      <c r="F40" s="6">
        <f t="shared" si="17"/>
        <v>1215506.25</v>
      </c>
      <c r="G40" s="6">
        <f t="shared" si="17"/>
        <v>1276281.5625</v>
      </c>
      <c r="H40" s="6">
        <f t="shared" si="17"/>
        <v>1340095.640625</v>
      </c>
      <c r="I40" s="6">
        <f t="shared" si="17"/>
        <v>1407100.42265625</v>
      </c>
      <c r="J40" s="6">
        <f t="shared" si="17"/>
        <v>1407100.42265625</v>
      </c>
      <c r="K40" s="6">
        <f t="shared" si="17"/>
        <v>1407100.42265625</v>
      </c>
    </row>
    <row r="41" spans="1:11" x14ac:dyDescent="0.6">
      <c r="A41" s="6" t="s">
        <v>300</v>
      </c>
    </row>
  </sheetData>
  <mergeCells count="1">
    <mergeCell ref="C3:K3"/>
  </mergeCells>
  <pageMargins left="0.7" right="0.7" top="0.75" bottom="0.75" header="0.3" footer="0.3"/>
  <pageSetup scale="59" fitToHeight="0" orientation="landscape" r:id="rId1"/>
  <ignoredErrors>
    <ignoredError sqref="D2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4"/>
  <sheetViews>
    <sheetView topLeftCell="A20" workbookViewId="0">
      <selection activeCell="A30" sqref="A30"/>
    </sheetView>
  </sheetViews>
  <sheetFormatPr defaultRowHeight="17" x14ac:dyDescent="0.6"/>
  <cols>
    <col min="1" max="1" width="8.7265625" style="6"/>
    <col min="2" max="2" width="28.26953125" style="6" customWidth="1"/>
    <col min="3" max="3" width="15.6328125" style="6" bestFit="1" customWidth="1"/>
    <col min="4" max="10" width="13.7265625" style="6" bestFit="1" customWidth="1"/>
    <col min="11" max="11" width="13.6328125" style="6" bestFit="1" customWidth="1"/>
    <col min="12" max="12" width="10" style="6" bestFit="1" customWidth="1"/>
    <col min="13" max="16384" width="8.7265625" style="6"/>
  </cols>
  <sheetData>
    <row r="1" spans="1:11" x14ac:dyDescent="0.6">
      <c r="A1" s="5" t="s">
        <v>115</v>
      </c>
    </row>
    <row r="3" spans="1:11" x14ac:dyDescent="0.6">
      <c r="A3" s="6" t="s">
        <v>116</v>
      </c>
    </row>
    <row r="5" spans="1:11" s="5" customFormat="1" x14ac:dyDescent="0.6">
      <c r="A5" s="134" t="s">
        <v>37</v>
      </c>
      <c r="B5" s="134" t="s">
        <v>38</v>
      </c>
      <c r="C5" s="134" t="s">
        <v>48</v>
      </c>
      <c r="D5" s="134"/>
      <c r="E5" s="134"/>
      <c r="F5" s="134"/>
      <c r="G5" s="134"/>
      <c r="H5" s="134"/>
      <c r="I5" s="134"/>
      <c r="J5" s="134"/>
      <c r="K5" s="134"/>
    </row>
    <row r="6" spans="1:11" s="5" customFormat="1" x14ac:dyDescent="0.6">
      <c r="A6" s="134"/>
      <c r="B6" s="134"/>
      <c r="C6" s="108" t="s">
        <v>39</v>
      </c>
      <c r="D6" s="108" t="s">
        <v>40</v>
      </c>
      <c r="E6" s="108" t="s">
        <v>41</v>
      </c>
      <c r="F6" s="108" t="s">
        <v>42</v>
      </c>
      <c r="G6" s="108" t="s">
        <v>43</v>
      </c>
      <c r="H6" s="108" t="s">
        <v>44</v>
      </c>
      <c r="I6" s="108" t="s">
        <v>45</v>
      </c>
      <c r="J6" s="108" t="s">
        <v>46</v>
      </c>
      <c r="K6" s="108" t="s">
        <v>47</v>
      </c>
    </row>
    <row r="7" spans="1:11" x14ac:dyDescent="0.6">
      <c r="A7" s="34" t="s">
        <v>150</v>
      </c>
      <c r="B7" s="50" t="s">
        <v>117</v>
      </c>
      <c r="C7" s="51"/>
      <c r="D7" s="51"/>
      <c r="E7" s="52"/>
      <c r="F7" s="52"/>
      <c r="G7" s="52"/>
      <c r="H7" s="52"/>
      <c r="I7" s="52"/>
      <c r="J7" s="52"/>
      <c r="K7" s="52"/>
    </row>
    <row r="8" spans="1:11" x14ac:dyDescent="0.6">
      <c r="A8" s="26">
        <v>1</v>
      </c>
      <c r="B8" s="27" t="s">
        <v>118</v>
      </c>
      <c r="C8" s="12"/>
      <c r="D8" s="12"/>
      <c r="E8" s="13"/>
      <c r="F8" s="13"/>
      <c r="G8" s="13"/>
      <c r="H8" s="13"/>
      <c r="I8" s="13"/>
      <c r="J8" s="13"/>
      <c r="K8" s="13"/>
    </row>
    <row r="9" spans="1:11" x14ac:dyDescent="0.6">
      <c r="A9" s="26"/>
      <c r="B9" s="27" t="s">
        <v>119</v>
      </c>
      <c r="C9" s="53">
        <f>'Ann 9'!C6+'Ann 9'!D6+'Ann 9'!E6</f>
        <v>3700000</v>
      </c>
      <c r="D9" s="54">
        <f>C11</f>
        <v>3157500</v>
      </c>
      <c r="E9" s="16">
        <f t="shared" ref="E9:K9" si="0">D11</f>
        <v>2695125</v>
      </c>
      <c r="F9" s="16">
        <f t="shared" si="0"/>
        <v>2300981.25</v>
      </c>
      <c r="G9" s="16">
        <f t="shared" si="0"/>
        <v>1964946.5625</v>
      </c>
      <c r="H9" s="16">
        <f t="shared" si="0"/>
        <v>1678405.828125</v>
      </c>
      <c r="I9" s="16">
        <f t="shared" si="0"/>
        <v>1434026.07890625</v>
      </c>
      <c r="J9" s="16">
        <f t="shared" si="0"/>
        <v>1225565.1795703124</v>
      </c>
      <c r="K9" s="16">
        <f t="shared" si="0"/>
        <v>1047709.1138847654</v>
      </c>
    </row>
    <row r="10" spans="1:11" x14ac:dyDescent="0.6">
      <c r="A10" s="26"/>
      <c r="B10" s="27" t="s">
        <v>120</v>
      </c>
      <c r="C10" s="53">
        <f>'Ann 9'!C12+'Ann 9'!D12+'Ann 9'!E12</f>
        <v>542500</v>
      </c>
      <c r="D10" s="54">
        <f>'Ann 9'!C13+'Ann 9'!D13+'Ann 9'!E13</f>
        <v>462375</v>
      </c>
      <c r="E10" s="16">
        <f>'Ann 9'!C14+'Ann 9'!D14+'Ann 9'!E14</f>
        <v>394143.75</v>
      </c>
      <c r="F10" s="16">
        <f>'Ann 9'!C15+'Ann 9'!D15+'Ann 9'!E15</f>
        <v>336034.6875</v>
      </c>
      <c r="G10" s="16">
        <f>'Ann 9'!C16+'Ann 9'!D16+'Ann 9'!E16</f>
        <v>286540.734375</v>
      </c>
      <c r="H10" s="16">
        <f>'Ann 9'!C17+'Ann 9'!D17+'Ann 9'!E17</f>
        <v>244379.74921874999</v>
      </c>
      <c r="I10" s="16">
        <f>+'Ann 9'!C18+'Ann 9'!D18+'Ann 9'!E18</f>
        <v>208460.89933593749</v>
      </c>
      <c r="J10" s="16">
        <f>'Ann 9'!C19+'Ann 9'!D19+'Ann 9'!E19</f>
        <v>177856.0656855469</v>
      </c>
      <c r="K10" s="16">
        <f>+'Ann 9'!C20+'Ann 9'!D20+'Ann 9'!E20</f>
        <v>151775.52695771484</v>
      </c>
    </row>
    <row r="11" spans="1:11" x14ac:dyDescent="0.6">
      <c r="A11" s="26"/>
      <c r="B11" s="27" t="s">
        <v>121</v>
      </c>
      <c r="C11" s="53">
        <f>C9-C10</f>
        <v>3157500</v>
      </c>
      <c r="D11" s="54">
        <f>D9-D10</f>
        <v>2695125</v>
      </c>
      <c r="E11" s="16">
        <f t="shared" ref="E11:K11" si="1">E9-E10</f>
        <v>2300981.25</v>
      </c>
      <c r="F11" s="16">
        <f t="shared" si="1"/>
        <v>1964946.5625</v>
      </c>
      <c r="G11" s="16">
        <f t="shared" si="1"/>
        <v>1678405.828125</v>
      </c>
      <c r="H11" s="16">
        <f t="shared" si="1"/>
        <v>1434026.07890625</v>
      </c>
      <c r="I11" s="16">
        <f t="shared" si="1"/>
        <v>1225565.1795703124</v>
      </c>
      <c r="J11" s="16">
        <f t="shared" si="1"/>
        <v>1047709.1138847654</v>
      </c>
      <c r="K11" s="16">
        <f t="shared" si="1"/>
        <v>895933.58692705061</v>
      </c>
    </row>
    <row r="12" spans="1:11" x14ac:dyDescent="0.6">
      <c r="A12" s="26">
        <v>3</v>
      </c>
      <c r="B12" s="27" t="s">
        <v>122</v>
      </c>
      <c r="C12" s="53">
        <f>'Ann 4'!C19*30/360</f>
        <v>1225000</v>
      </c>
      <c r="D12" s="53">
        <f>'Ann 4'!D19*30/360</f>
        <v>1406250</v>
      </c>
      <c r="E12" s="53">
        <f>'Ann 4'!E19*30/360</f>
        <v>1500000</v>
      </c>
      <c r="F12" s="53">
        <f>'Ann 4'!F19*30/360</f>
        <v>1593750</v>
      </c>
      <c r="G12" s="53">
        <f>'Ann 4'!G19*30/360</f>
        <v>1687500</v>
      </c>
      <c r="H12" s="53">
        <f>'Ann 4'!H19*30/360</f>
        <v>1781250</v>
      </c>
      <c r="I12" s="53">
        <f>'Ann 4'!I19*30/360</f>
        <v>1875000</v>
      </c>
      <c r="J12" s="53">
        <f>'Ann 4'!J19*30/360</f>
        <v>1875000</v>
      </c>
      <c r="K12" s="53">
        <f>'Ann 4'!K19*30/360</f>
        <v>1875000</v>
      </c>
    </row>
    <row r="13" spans="1:11" x14ac:dyDescent="0.6">
      <c r="A13" s="26">
        <v>4</v>
      </c>
      <c r="B13" s="27" t="s">
        <v>123</v>
      </c>
      <c r="C13" s="55">
        <f>'Cash flows'!C20</f>
        <v>2999634.8384615383</v>
      </c>
      <c r="D13" s="55">
        <f>'Cash flows'!D20</f>
        <v>3921279.9335384588</v>
      </c>
      <c r="E13" s="55">
        <f>'Cash flows'!E20</f>
        <v>4948160.3221938433</v>
      </c>
      <c r="F13" s="55">
        <f>'Cash flows'!F20</f>
        <v>6035180.0311704893</v>
      </c>
      <c r="G13" s="55">
        <f>'Cash flows'!G20</f>
        <v>7188364.1141081918</v>
      </c>
      <c r="H13" s="55">
        <f>'Cash flows'!H20</f>
        <v>7879798.7429643227</v>
      </c>
      <c r="I13" s="55">
        <f>'Cash flows'!I20</f>
        <v>9937513.5992571786</v>
      </c>
      <c r="J13" s="55">
        <f>'Cash flows'!J20</f>
        <v>12006692.241692001</v>
      </c>
      <c r="K13" s="55">
        <f>'Cash flows'!K20</f>
        <v>14033694.947174828</v>
      </c>
    </row>
    <row r="14" spans="1:11" x14ac:dyDescent="0.6">
      <c r="A14" s="26"/>
      <c r="B14" s="27" t="s">
        <v>131</v>
      </c>
      <c r="C14" s="53">
        <f t="shared" ref="C14:K14" si="2">SUM(C11:C13)</f>
        <v>7382134.8384615388</v>
      </c>
      <c r="D14" s="53">
        <f t="shared" si="2"/>
        <v>8022654.9335384592</v>
      </c>
      <c r="E14" s="56">
        <f t="shared" si="2"/>
        <v>8749141.5721938424</v>
      </c>
      <c r="F14" s="56">
        <f t="shared" si="2"/>
        <v>9593876.5936704893</v>
      </c>
      <c r="G14" s="56">
        <f t="shared" si="2"/>
        <v>10554269.942233192</v>
      </c>
      <c r="H14" s="56">
        <f t="shared" si="2"/>
        <v>11095074.821870573</v>
      </c>
      <c r="I14" s="56">
        <f t="shared" si="2"/>
        <v>13038078.778827492</v>
      </c>
      <c r="J14" s="56">
        <f t="shared" si="2"/>
        <v>14929401.355576767</v>
      </c>
      <c r="K14" s="56">
        <f t="shared" si="2"/>
        <v>16804628.534101881</v>
      </c>
    </row>
    <row r="15" spans="1:11" x14ac:dyDescent="0.6">
      <c r="A15" s="26"/>
      <c r="B15" s="27"/>
      <c r="C15" s="53"/>
      <c r="D15" s="53"/>
      <c r="E15" s="56"/>
      <c r="F15" s="56"/>
      <c r="G15" s="56"/>
      <c r="H15" s="56"/>
      <c r="I15" s="56"/>
      <c r="J15" s="56"/>
      <c r="K15" s="56"/>
    </row>
    <row r="16" spans="1:11" x14ac:dyDescent="0.6">
      <c r="A16" s="26" t="s">
        <v>151</v>
      </c>
      <c r="B16" s="57" t="s">
        <v>124</v>
      </c>
      <c r="C16" s="12"/>
      <c r="D16" s="12"/>
      <c r="E16" s="13"/>
      <c r="F16" s="13"/>
      <c r="G16" s="13"/>
      <c r="H16" s="13"/>
      <c r="I16" s="13"/>
      <c r="J16" s="13"/>
      <c r="K16" s="13"/>
    </row>
    <row r="17" spans="1:13" x14ac:dyDescent="0.6">
      <c r="A17" s="26">
        <v>1</v>
      </c>
      <c r="B17" s="27" t="s">
        <v>125</v>
      </c>
      <c r="C17" s="55">
        <f>'Ann 2'!C4*100000</f>
        <v>595000</v>
      </c>
      <c r="D17" s="55">
        <f>C20</f>
        <v>1694959.4538461538</v>
      </c>
      <c r="E17" s="58">
        <f t="shared" ref="E17:K17" si="3">D20</f>
        <v>3002379.5796923069</v>
      </c>
      <c r="F17" s="58">
        <f t="shared" si="3"/>
        <v>4429690.4051169213</v>
      </c>
      <c r="G17" s="58">
        <f t="shared" si="3"/>
        <v>5974098.4602827979</v>
      </c>
      <c r="H17" s="58">
        <f t="shared" si="3"/>
        <v>7632933.1087391321</v>
      </c>
      <c r="I17" s="58">
        <f t="shared" si="3"/>
        <v>9625630.5638780817</v>
      </c>
      <c r="J17" s="58">
        <f t="shared" si="3"/>
        <v>11509578.422775522</v>
      </c>
      <c r="K17" s="58">
        <f t="shared" si="3"/>
        <v>13377835.974601163</v>
      </c>
    </row>
    <row r="18" spans="1:13" x14ac:dyDescent="0.6">
      <c r="A18" s="26"/>
      <c r="B18" s="27" t="s">
        <v>126</v>
      </c>
      <c r="C18" s="55">
        <f>'Ann 4'!C35</f>
        <v>1099959.4538461538</v>
      </c>
      <c r="D18" s="55">
        <f>'Ann 4'!D35</f>
        <v>1307420.1258461531</v>
      </c>
      <c r="E18" s="58">
        <f>'Ann 4'!E35</f>
        <v>1427310.8254246144</v>
      </c>
      <c r="F18" s="58">
        <f>'Ann 4'!F35</f>
        <v>1544408.0551658766</v>
      </c>
      <c r="G18" s="58">
        <f>'Ann 4'!G35</f>
        <v>1658834.6484563341</v>
      </c>
      <c r="H18" s="58">
        <f>'Ann 4'!H35</f>
        <v>1992697.4551389506</v>
      </c>
      <c r="I18" s="58">
        <f>'Ann 4'!I35</f>
        <v>1883947.8588974411</v>
      </c>
      <c r="J18" s="58">
        <f>'Ann 4'!J35</f>
        <v>1868257.5518256407</v>
      </c>
      <c r="K18" s="58">
        <f>'Ann 4'!K35</f>
        <v>1850547.6018568212</v>
      </c>
    </row>
    <row r="19" spans="1:13" x14ac:dyDescent="0.6">
      <c r="A19" s="26"/>
      <c r="B19" s="27" t="s">
        <v>127</v>
      </c>
      <c r="C19" s="55">
        <v>0</v>
      </c>
      <c r="D19" s="55">
        <v>0</v>
      </c>
      <c r="E19" s="58">
        <v>0</v>
      </c>
      <c r="F19" s="58">
        <v>0</v>
      </c>
      <c r="G19" s="58">
        <v>0</v>
      </c>
      <c r="H19" s="58">
        <v>0</v>
      </c>
      <c r="I19" s="58">
        <v>0</v>
      </c>
      <c r="J19" s="58">
        <v>0</v>
      </c>
      <c r="K19" s="58">
        <v>0</v>
      </c>
    </row>
    <row r="20" spans="1:13" x14ac:dyDescent="0.6">
      <c r="A20" s="26"/>
      <c r="B20" s="27" t="s">
        <v>128</v>
      </c>
      <c r="C20" s="55">
        <f>C17+C18</f>
        <v>1694959.4538461538</v>
      </c>
      <c r="D20" s="55">
        <f t="shared" ref="D20:K20" si="4">D17+D18</f>
        <v>3002379.5796923069</v>
      </c>
      <c r="E20" s="58">
        <f t="shared" si="4"/>
        <v>4429690.4051169213</v>
      </c>
      <c r="F20" s="58">
        <f t="shared" si="4"/>
        <v>5974098.4602827979</v>
      </c>
      <c r="G20" s="58">
        <f t="shared" si="4"/>
        <v>7632933.1087391321</v>
      </c>
      <c r="H20" s="58">
        <f t="shared" si="4"/>
        <v>9625630.5638780817</v>
      </c>
      <c r="I20" s="58">
        <f t="shared" si="4"/>
        <v>11509578.422775522</v>
      </c>
      <c r="J20" s="58">
        <f t="shared" si="4"/>
        <v>13377835.974601163</v>
      </c>
      <c r="K20" s="58">
        <f t="shared" si="4"/>
        <v>15228383.576457985</v>
      </c>
    </row>
    <row r="21" spans="1:13" x14ac:dyDescent="0.6">
      <c r="A21" s="26">
        <v>2</v>
      </c>
      <c r="B21" s="27" t="s">
        <v>129</v>
      </c>
      <c r="C21" s="55">
        <f>'Ann 13'!C14*100000</f>
        <v>4528615.384615384</v>
      </c>
      <c r="D21" s="55">
        <f>'Ann 13'!C18*100000</f>
        <v>3773846.1538461545</v>
      </c>
      <c r="E21" s="55">
        <f>'Ann 13'!C22*100000</f>
        <v>3019076.9230769239</v>
      </c>
      <c r="F21" s="55">
        <f>'Ann 13'!C26*100000</f>
        <v>2264307.6923076939</v>
      </c>
      <c r="G21" s="58">
        <f>('Ann 13'!C29-'Ann 13'!D29)*100000</f>
        <v>1509538.4615384636</v>
      </c>
      <c r="H21" s="58">
        <f>('Ann 13'!C33-'Ann 13'!D33)*100000</f>
        <v>0</v>
      </c>
      <c r="I21" s="58">
        <v>0</v>
      </c>
      <c r="J21" s="58">
        <v>0</v>
      </c>
      <c r="K21" s="58">
        <v>0</v>
      </c>
    </row>
    <row r="22" spans="1:13" x14ac:dyDescent="0.6">
      <c r="A22" s="26">
        <v>3</v>
      </c>
      <c r="B22" s="22" t="s">
        <v>163</v>
      </c>
      <c r="C22" s="55">
        <f>'Ann 2'!$C$7*100000</f>
        <v>449000</v>
      </c>
      <c r="D22" s="55">
        <f>'Ann 2'!$C$7*100000</f>
        <v>449000</v>
      </c>
      <c r="E22" s="55">
        <f>'Ann 2'!$C$7*100000</f>
        <v>449000</v>
      </c>
      <c r="F22" s="55">
        <f>'Ann 2'!$C$7*100000</f>
        <v>449000</v>
      </c>
      <c r="G22" s="55">
        <f>'Ann 2'!$C$7*100000</f>
        <v>449000</v>
      </c>
      <c r="H22" s="55">
        <f>'Ann 2'!$C$7*100000</f>
        <v>449000</v>
      </c>
      <c r="I22" s="55">
        <f>'Ann 2'!$C$7*100000</f>
        <v>449000</v>
      </c>
      <c r="J22" s="55">
        <f>'Ann 2'!$C$7*100000</f>
        <v>449000</v>
      </c>
      <c r="K22" s="55">
        <f>'Ann 2'!$C$7*100000</f>
        <v>449000</v>
      </c>
    </row>
    <row r="23" spans="1:13" x14ac:dyDescent="0.6">
      <c r="A23" s="26">
        <v>4</v>
      </c>
      <c r="B23" s="22" t="s">
        <v>158</v>
      </c>
      <c r="C23" s="55">
        <f>('Ann 4'!C10+'Ann 4'!C14)*60/360</f>
        <v>709560</v>
      </c>
      <c r="D23" s="55">
        <f>('Ann 4'!D10+'Ann 4'!D14)*60/360</f>
        <v>797429.2</v>
      </c>
      <c r="E23" s="55">
        <f>('Ann 4'!E10+'Ann 4'!E14)*60/360</f>
        <v>851374.24400000006</v>
      </c>
      <c r="F23" s="55">
        <f>('Ann 4'!F10+'Ann 4'!F14)*60/360</f>
        <v>906470.44108000014</v>
      </c>
      <c r="G23" s="55">
        <f>('Ann 4'!G10+'Ann 4'!G14)*60/360</f>
        <v>962798.3719556001</v>
      </c>
      <c r="H23" s="55">
        <f>('Ann 4'!H10+'Ann 4'!H14)*60/360</f>
        <v>1020444.2579924922</v>
      </c>
      <c r="I23" s="55">
        <f>('Ann 4'!I10+'Ann 4'!I14)*60/360</f>
        <v>1079500.3560519665</v>
      </c>
      <c r="J23" s="55">
        <f>('Ann 4'!J10+'Ann 4'!J14)*60/360</f>
        <v>1102565.3809756043</v>
      </c>
      <c r="K23" s="55">
        <f>('Ann 4'!K10+'Ann 4'!K14)*60/360</f>
        <v>1127244.9576438966</v>
      </c>
    </row>
    <row r="24" spans="1:13" x14ac:dyDescent="0.6">
      <c r="A24" s="26"/>
      <c r="B24" s="27" t="s">
        <v>130</v>
      </c>
      <c r="C24" s="53">
        <f t="shared" ref="C24:K24" si="5">SUM(C20:C23)</f>
        <v>7382134.8384615378</v>
      </c>
      <c r="D24" s="53">
        <f t="shared" si="5"/>
        <v>8022654.933538462</v>
      </c>
      <c r="E24" s="53">
        <f t="shared" si="5"/>
        <v>8749141.5721938461</v>
      </c>
      <c r="F24" s="53">
        <f t="shared" si="5"/>
        <v>9593876.5936704911</v>
      </c>
      <c r="G24" s="53">
        <f t="shared" si="5"/>
        <v>10554269.942233196</v>
      </c>
      <c r="H24" s="53">
        <f t="shared" si="5"/>
        <v>11095074.821870575</v>
      </c>
      <c r="I24" s="53">
        <f t="shared" si="5"/>
        <v>13038078.778827488</v>
      </c>
      <c r="J24" s="53">
        <f t="shared" si="5"/>
        <v>14929401.355576767</v>
      </c>
      <c r="K24" s="53">
        <f t="shared" si="5"/>
        <v>16804628.534101881</v>
      </c>
    </row>
    <row r="25" spans="1:13" x14ac:dyDescent="0.6">
      <c r="A25" s="26"/>
      <c r="B25" s="27"/>
      <c r="C25" s="53"/>
      <c r="D25" s="53"/>
      <c r="E25" s="53"/>
      <c r="F25" s="53"/>
      <c r="G25" s="53"/>
      <c r="H25" s="53"/>
      <c r="I25" s="53"/>
      <c r="J25" s="53"/>
      <c r="K25" s="53"/>
      <c r="L25" s="59"/>
      <c r="M25" s="27"/>
    </row>
    <row r="26" spans="1:13" x14ac:dyDescent="0.6">
      <c r="A26" s="122"/>
      <c r="B26" s="123" t="s">
        <v>132</v>
      </c>
      <c r="C26" s="124"/>
      <c r="D26" s="124"/>
      <c r="E26" s="125"/>
      <c r="F26" s="125"/>
      <c r="G26" s="125"/>
      <c r="H26" s="125"/>
      <c r="I26" s="125"/>
      <c r="J26" s="125"/>
      <c r="K26" s="125"/>
    </row>
    <row r="27" spans="1:13" x14ac:dyDescent="0.6">
      <c r="A27" s="26"/>
      <c r="B27" s="27" t="s">
        <v>133</v>
      </c>
      <c r="C27" s="53">
        <f t="shared" ref="C27:K27" si="6">SUM(C12:C13)</f>
        <v>4224634.8384615388</v>
      </c>
      <c r="D27" s="53">
        <f t="shared" si="6"/>
        <v>5327529.9335384592</v>
      </c>
      <c r="E27" s="56">
        <f t="shared" si="6"/>
        <v>6448160.3221938433</v>
      </c>
      <c r="F27" s="56">
        <f t="shared" si="6"/>
        <v>7628930.0311704893</v>
      </c>
      <c r="G27" s="56">
        <f t="shared" si="6"/>
        <v>8875864.1141081918</v>
      </c>
      <c r="H27" s="56">
        <f t="shared" si="6"/>
        <v>9661048.7429643236</v>
      </c>
      <c r="I27" s="56">
        <f t="shared" si="6"/>
        <v>11812513.599257179</v>
      </c>
      <c r="J27" s="56">
        <f t="shared" si="6"/>
        <v>13881692.241692001</v>
      </c>
      <c r="K27" s="56">
        <f t="shared" si="6"/>
        <v>15908694.947174828</v>
      </c>
    </row>
    <row r="28" spans="1:13" x14ac:dyDescent="0.6">
      <c r="A28" s="26"/>
      <c r="B28" s="27" t="s">
        <v>134</v>
      </c>
      <c r="C28" s="53">
        <f>C23</f>
        <v>709560</v>
      </c>
      <c r="D28" s="53">
        <f t="shared" ref="D28:K28" si="7">D23</f>
        <v>797429.2</v>
      </c>
      <c r="E28" s="53">
        <f t="shared" si="7"/>
        <v>851374.24400000006</v>
      </c>
      <c r="F28" s="53">
        <f t="shared" si="7"/>
        <v>906470.44108000014</v>
      </c>
      <c r="G28" s="53">
        <f t="shared" si="7"/>
        <v>962798.3719556001</v>
      </c>
      <c r="H28" s="53">
        <f t="shared" si="7"/>
        <v>1020444.2579924922</v>
      </c>
      <c r="I28" s="53">
        <f t="shared" si="7"/>
        <v>1079500.3560519665</v>
      </c>
      <c r="J28" s="53">
        <f t="shared" si="7"/>
        <v>1102565.3809756043</v>
      </c>
      <c r="K28" s="53">
        <f t="shared" si="7"/>
        <v>1127244.9576438966</v>
      </c>
    </row>
    <row r="29" spans="1:13" x14ac:dyDescent="0.6">
      <c r="A29" s="26"/>
      <c r="B29" s="27" t="s">
        <v>139</v>
      </c>
      <c r="C29" s="12">
        <f>C27/C28</f>
        <v>5.9538796415546802</v>
      </c>
      <c r="D29" s="12">
        <f>D27/D28</f>
        <v>6.6808814293964396</v>
      </c>
      <c r="E29" s="13">
        <f t="shared" ref="E29:K29" si="8">E27/E28</f>
        <v>7.573825926303031</v>
      </c>
      <c r="F29" s="13">
        <f t="shared" si="8"/>
        <v>8.4160825168012305</v>
      </c>
      <c r="G29" s="13">
        <f t="shared" si="8"/>
        <v>9.2188191968790605</v>
      </c>
      <c r="H29" s="13">
        <f t="shared" si="8"/>
        <v>9.4674928760639894</v>
      </c>
      <c r="I29" s="13">
        <f t="shared" si="8"/>
        <v>10.942574991321754</v>
      </c>
      <c r="J29" s="13">
        <f t="shared" si="8"/>
        <v>12.590357434775246</v>
      </c>
      <c r="K29" s="13">
        <f t="shared" si="8"/>
        <v>14.112899631351006</v>
      </c>
    </row>
    <row r="30" spans="1:13" x14ac:dyDescent="0.6">
      <c r="A30" s="26"/>
      <c r="B30" s="22" t="s">
        <v>152</v>
      </c>
      <c r="C30" s="12"/>
      <c r="D30" s="12"/>
      <c r="E30" s="13"/>
      <c r="F30" s="13">
        <f>AVERAGE(C29:K29)</f>
        <v>9.4396459604940492</v>
      </c>
      <c r="G30" s="13"/>
      <c r="H30" s="13"/>
      <c r="I30" s="13"/>
      <c r="J30" s="13"/>
      <c r="K30" s="13"/>
    </row>
    <row r="31" spans="1:13" x14ac:dyDescent="0.6">
      <c r="A31" s="26"/>
      <c r="B31" s="27"/>
      <c r="C31" s="12"/>
      <c r="D31" s="12"/>
      <c r="E31" s="13"/>
      <c r="F31" s="13"/>
      <c r="G31" s="13"/>
      <c r="H31" s="13"/>
      <c r="I31" s="13"/>
      <c r="J31" s="13"/>
      <c r="K31" s="13"/>
    </row>
    <row r="32" spans="1:13" x14ac:dyDescent="0.6">
      <c r="A32" s="122"/>
      <c r="B32" s="123" t="s">
        <v>136</v>
      </c>
      <c r="C32" s="124"/>
      <c r="D32" s="124"/>
      <c r="E32" s="125"/>
      <c r="F32" s="125"/>
      <c r="G32" s="125"/>
      <c r="H32" s="125"/>
      <c r="I32" s="125"/>
      <c r="J32" s="125"/>
      <c r="K32" s="125"/>
    </row>
    <row r="33" spans="1:11" x14ac:dyDescent="0.6">
      <c r="A33" s="26"/>
      <c r="B33" s="27" t="s">
        <v>137</v>
      </c>
      <c r="C33" s="53">
        <f>C21+C22</f>
        <v>4977615.384615384</v>
      </c>
      <c r="D33" s="53">
        <f t="shared" ref="D33:K33" si="9">D21+D22</f>
        <v>4222846.153846154</v>
      </c>
      <c r="E33" s="53">
        <f t="shared" si="9"/>
        <v>3468076.9230769239</v>
      </c>
      <c r="F33" s="53">
        <f t="shared" si="9"/>
        <v>2713307.6923076939</v>
      </c>
      <c r="G33" s="53">
        <f t="shared" si="9"/>
        <v>1958538.4615384636</v>
      </c>
      <c r="H33" s="53">
        <f t="shared" si="9"/>
        <v>449000</v>
      </c>
      <c r="I33" s="53">
        <f t="shared" si="9"/>
        <v>449000</v>
      </c>
      <c r="J33" s="53">
        <f t="shared" si="9"/>
        <v>449000</v>
      </c>
      <c r="K33" s="53">
        <f t="shared" si="9"/>
        <v>449000</v>
      </c>
    </row>
    <row r="34" spans="1:11" x14ac:dyDescent="0.6">
      <c r="A34" s="26"/>
      <c r="B34" s="27" t="s">
        <v>138</v>
      </c>
      <c r="C34" s="53">
        <f t="shared" ref="C34:K34" si="10">C20</f>
        <v>1694959.4538461538</v>
      </c>
      <c r="D34" s="53">
        <f t="shared" si="10"/>
        <v>3002379.5796923069</v>
      </c>
      <c r="E34" s="56">
        <f t="shared" si="10"/>
        <v>4429690.4051169213</v>
      </c>
      <c r="F34" s="56">
        <f t="shared" si="10"/>
        <v>5974098.4602827979</v>
      </c>
      <c r="G34" s="56">
        <f t="shared" si="10"/>
        <v>7632933.1087391321</v>
      </c>
      <c r="H34" s="56">
        <f t="shared" si="10"/>
        <v>9625630.5638780817</v>
      </c>
      <c r="I34" s="56">
        <f t="shared" si="10"/>
        <v>11509578.422775522</v>
      </c>
      <c r="J34" s="56">
        <f t="shared" si="10"/>
        <v>13377835.974601163</v>
      </c>
      <c r="K34" s="56">
        <f t="shared" si="10"/>
        <v>15228383.576457985</v>
      </c>
    </row>
    <row r="35" spans="1:11" x14ac:dyDescent="0.6">
      <c r="A35" s="26"/>
      <c r="B35" s="27" t="s">
        <v>139</v>
      </c>
      <c r="C35" s="12">
        <f>C33/C34</f>
        <v>2.9367164939080523</v>
      </c>
      <c r="D35" s="12">
        <f t="shared" ref="D35:K35" si="11">D33/D34</f>
        <v>1.4064997585278423</v>
      </c>
      <c r="E35" s="13">
        <f t="shared" si="11"/>
        <v>0.78291632279104717</v>
      </c>
      <c r="F35" s="13">
        <f t="shared" si="11"/>
        <v>0.45417860290492318</v>
      </c>
      <c r="G35" s="13">
        <f t="shared" si="11"/>
        <v>0.2565905443735757</v>
      </c>
      <c r="H35" s="13">
        <f t="shared" si="11"/>
        <v>4.6646294704572773E-2</v>
      </c>
      <c r="I35" s="14">
        <f t="shared" si="11"/>
        <v>3.9010985763953301E-2</v>
      </c>
      <c r="J35" s="14">
        <f t="shared" si="11"/>
        <v>3.3562976915882406E-2</v>
      </c>
      <c r="K35" s="14">
        <f t="shared" si="11"/>
        <v>2.9484416237986189E-2</v>
      </c>
    </row>
    <row r="36" spans="1:11" x14ac:dyDescent="0.6">
      <c r="A36" s="26"/>
      <c r="B36" s="22" t="s">
        <v>152</v>
      </c>
      <c r="C36" s="12"/>
      <c r="D36" s="12"/>
      <c r="E36" s="13"/>
      <c r="F36" s="13">
        <f>AVERAGE(C35:K35)</f>
        <v>0.66506737734753729</v>
      </c>
      <c r="G36" s="13"/>
      <c r="H36" s="13"/>
      <c r="I36" s="56"/>
      <c r="J36" s="56"/>
      <c r="K36" s="56"/>
    </row>
    <row r="37" spans="1:11" x14ac:dyDescent="0.6">
      <c r="A37" s="26"/>
      <c r="B37" s="27"/>
      <c r="C37" s="12"/>
      <c r="D37" s="12"/>
      <c r="E37" s="13"/>
      <c r="F37" s="13"/>
      <c r="G37" s="13"/>
      <c r="H37" s="13"/>
      <c r="I37" s="56"/>
      <c r="J37" s="56"/>
      <c r="K37" s="56"/>
    </row>
    <row r="38" spans="1:11" x14ac:dyDescent="0.6">
      <c r="A38" s="122"/>
      <c r="B38" s="123" t="s">
        <v>153</v>
      </c>
      <c r="C38" s="124"/>
      <c r="D38" s="124"/>
      <c r="E38" s="125"/>
      <c r="F38" s="125"/>
      <c r="G38" s="125"/>
      <c r="H38" s="125"/>
      <c r="I38" s="126"/>
      <c r="J38" s="126"/>
      <c r="K38" s="126"/>
    </row>
    <row r="39" spans="1:11" x14ac:dyDescent="0.6">
      <c r="A39" s="26"/>
      <c r="B39" s="22" t="s">
        <v>154</v>
      </c>
      <c r="C39" s="53">
        <f t="shared" ref="C39:K39" si="12">C11</f>
        <v>3157500</v>
      </c>
      <c r="D39" s="53">
        <f t="shared" si="12"/>
        <v>2695125</v>
      </c>
      <c r="E39" s="53">
        <f t="shared" si="12"/>
        <v>2300981.25</v>
      </c>
      <c r="F39" s="53">
        <f t="shared" si="12"/>
        <v>1964946.5625</v>
      </c>
      <c r="G39" s="53">
        <f t="shared" si="12"/>
        <v>1678405.828125</v>
      </c>
      <c r="H39" s="53">
        <f t="shared" si="12"/>
        <v>1434026.07890625</v>
      </c>
      <c r="I39" s="53">
        <f t="shared" si="12"/>
        <v>1225565.1795703124</v>
      </c>
      <c r="J39" s="53">
        <f t="shared" si="12"/>
        <v>1047709.1138847654</v>
      </c>
      <c r="K39" s="53">
        <f t="shared" si="12"/>
        <v>895933.58692705061</v>
      </c>
    </row>
    <row r="40" spans="1:11" x14ac:dyDescent="0.6">
      <c r="A40" s="26"/>
      <c r="B40" s="22" t="s">
        <v>137</v>
      </c>
      <c r="C40" s="53">
        <f t="shared" ref="C40:K40" si="13">C21+C22</f>
        <v>4977615.384615384</v>
      </c>
      <c r="D40" s="53">
        <f t="shared" si="13"/>
        <v>4222846.153846154</v>
      </c>
      <c r="E40" s="53">
        <f t="shared" si="13"/>
        <v>3468076.9230769239</v>
      </c>
      <c r="F40" s="53">
        <f t="shared" si="13"/>
        <v>2713307.6923076939</v>
      </c>
      <c r="G40" s="53">
        <f t="shared" si="13"/>
        <v>1958538.4615384636</v>
      </c>
      <c r="H40" s="53">
        <f t="shared" si="13"/>
        <v>449000</v>
      </c>
      <c r="I40" s="53">
        <f t="shared" si="13"/>
        <v>449000</v>
      </c>
      <c r="J40" s="53">
        <f t="shared" si="13"/>
        <v>449000</v>
      </c>
      <c r="K40" s="53">
        <f t="shared" si="13"/>
        <v>449000</v>
      </c>
    </row>
    <row r="41" spans="1:11" x14ac:dyDescent="0.6">
      <c r="A41" s="26"/>
      <c r="B41" s="22" t="s">
        <v>148</v>
      </c>
      <c r="C41" s="12">
        <f>C39/C40</f>
        <v>0.63433989089616594</v>
      </c>
      <c r="D41" s="12">
        <f t="shared" ref="D41:G41" si="14">D39/D40</f>
        <v>0.63822476638067649</v>
      </c>
      <c r="E41" s="12">
        <f t="shared" si="14"/>
        <v>0.66347468670289433</v>
      </c>
      <c r="F41" s="12">
        <f t="shared" si="14"/>
        <v>0.72418862338048895</v>
      </c>
      <c r="G41" s="12">
        <f t="shared" si="14"/>
        <v>0.85696853091492786</v>
      </c>
      <c r="H41" s="53">
        <v>0</v>
      </c>
      <c r="I41" s="53">
        <v>0</v>
      </c>
      <c r="J41" s="53">
        <v>0</v>
      </c>
      <c r="K41" s="53">
        <v>0</v>
      </c>
    </row>
    <row r="42" spans="1:11" x14ac:dyDescent="0.6">
      <c r="A42" s="26"/>
      <c r="B42" s="22"/>
      <c r="C42" s="12"/>
      <c r="D42" s="12"/>
      <c r="E42" s="13"/>
      <c r="F42" s="13">
        <f>AVERAGE(C41:K41)</f>
        <v>0.39079961091946147</v>
      </c>
      <c r="G42" s="13"/>
      <c r="H42" s="13"/>
      <c r="I42" s="13"/>
      <c r="J42" s="13"/>
      <c r="K42" s="13"/>
    </row>
    <row r="43" spans="1:11" x14ac:dyDescent="0.6">
      <c r="A43" s="26"/>
      <c r="B43" s="27"/>
      <c r="C43" s="12"/>
      <c r="D43" s="12"/>
      <c r="E43" s="13"/>
      <c r="F43" s="13"/>
      <c r="G43" s="13"/>
      <c r="H43" s="13"/>
      <c r="I43" s="56"/>
      <c r="J43" s="56"/>
      <c r="K43" s="56"/>
    </row>
    <row r="44" spans="1:11" x14ac:dyDescent="0.6">
      <c r="A44" s="122"/>
      <c r="B44" s="123" t="s">
        <v>145</v>
      </c>
      <c r="C44" s="124"/>
      <c r="D44" s="124"/>
      <c r="E44" s="125"/>
      <c r="F44" s="125"/>
      <c r="G44" s="125"/>
      <c r="H44" s="125"/>
      <c r="I44" s="126"/>
      <c r="J44" s="126"/>
      <c r="K44" s="126"/>
    </row>
    <row r="45" spans="1:11" x14ac:dyDescent="0.6">
      <c r="A45" s="26"/>
      <c r="B45" s="27" t="s">
        <v>146</v>
      </c>
      <c r="C45" s="55">
        <f>'Ann 4'!C25</f>
        <v>336429.61538461532</v>
      </c>
      <c r="D45" s="55">
        <f>'Ann 4'!D25</f>
        <v>299634.61538461538</v>
      </c>
      <c r="E45" s="55">
        <f>'Ann 4'!E25</f>
        <v>254348.46153846156</v>
      </c>
      <c r="F45" s="55">
        <f>'Ann 4'!F25</f>
        <v>209062.30769230775</v>
      </c>
      <c r="G45" s="55">
        <f>'Ann 4'!G25</f>
        <v>163776.15384615396</v>
      </c>
      <c r="H45" s="55">
        <f>'Ann 4'!H25</f>
        <v>104338.07692307701</v>
      </c>
      <c r="I45" s="55">
        <f>'Ann 4'!I25</f>
        <v>44900</v>
      </c>
      <c r="J45" s="55">
        <f>'Ann 4'!J25</f>
        <v>44900</v>
      </c>
      <c r="K45" s="55">
        <f>'Ann 4'!K25</f>
        <v>44900</v>
      </c>
    </row>
    <row r="46" spans="1:11" x14ac:dyDescent="0.6">
      <c r="A46" s="26"/>
      <c r="B46" s="27" t="s">
        <v>149</v>
      </c>
      <c r="C46" s="55">
        <f>(SUM('Ann 13'!D10:D13)*100000)+('Ann 1'!$C$25*100000)</f>
        <v>826384.61538461526</v>
      </c>
      <c r="D46" s="55">
        <f>(SUM('Ann 13'!D14:D17)*100000)+('Ann 1'!$C$25*100000)</f>
        <v>1203769.2307692305</v>
      </c>
      <c r="E46" s="55">
        <f>(SUM('Ann 13'!D18:D21)*100000)+('Ann 1'!$C$25*100000)</f>
        <v>1203769.2307692305</v>
      </c>
      <c r="F46" s="55">
        <f>(SUM('Ann 13'!D22:D25)*100000)+('Ann 1'!$C$25*100000)</f>
        <v>1203769.2307692305</v>
      </c>
      <c r="G46" s="55">
        <f>(SUM('Ann 13'!D26:D29)*100000)+('Ann 1'!$C$25*100000)</f>
        <v>1203769.2307692305</v>
      </c>
      <c r="H46" s="55">
        <f>(SUM('Ann 13'!D30:D33)*100000)+('Ann 1'!$C$25*100000)</f>
        <v>858338.4615384636</v>
      </c>
      <c r="I46" s="55">
        <f>(SUM('Ann 13'!D34:D37)*100000)+('Ann 1'!$C$25*100000)</f>
        <v>449000</v>
      </c>
      <c r="J46" s="55">
        <f>(SUM('Ann 13'!D38:D38)*100000)+('Ann 1'!$C$25*100000)</f>
        <v>449000</v>
      </c>
      <c r="K46" s="55">
        <f>(SUM('Ann 13'!D39:D40)*100000)+('Ann 1'!$C$25*100000)</f>
        <v>449000</v>
      </c>
    </row>
    <row r="47" spans="1:11" x14ac:dyDescent="0.6">
      <c r="A47" s="26"/>
      <c r="B47" s="27" t="s">
        <v>8</v>
      </c>
      <c r="C47" s="55">
        <f>SUM(C45:C46)</f>
        <v>1162814.2307692305</v>
      </c>
      <c r="D47" s="55">
        <f t="shared" ref="D47:K47" si="15">SUM(D45:D46)</f>
        <v>1503403.846153846</v>
      </c>
      <c r="E47" s="58">
        <f t="shared" si="15"/>
        <v>1458117.692307692</v>
      </c>
      <c r="F47" s="58">
        <f t="shared" si="15"/>
        <v>1412831.5384615383</v>
      </c>
      <c r="G47" s="58">
        <f t="shared" si="15"/>
        <v>1367545.3846153845</v>
      </c>
      <c r="H47" s="58">
        <f t="shared" si="15"/>
        <v>962676.53846154059</v>
      </c>
      <c r="I47" s="58">
        <f t="shared" si="15"/>
        <v>493900</v>
      </c>
      <c r="J47" s="58">
        <f t="shared" si="15"/>
        <v>493900</v>
      </c>
      <c r="K47" s="58">
        <f t="shared" si="15"/>
        <v>493900</v>
      </c>
    </row>
    <row r="48" spans="1:11" x14ac:dyDescent="0.6">
      <c r="A48" s="26"/>
      <c r="B48" s="27" t="s">
        <v>147</v>
      </c>
      <c r="C48" s="55">
        <f>'Ann 4'!C20</f>
        <v>8808640</v>
      </c>
      <c r="D48" s="55">
        <f>'Ann 4'!D20</f>
        <v>10100724.800000001</v>
      </c>
      <c r="E48" s="58">
        <f>'Ann 4'!E20</f>
        <v>10843569.535999998</v>
      </c>
      <c r="F48" s="58">
        <f>'Ann 4'!F20</f>
        <v>11576583.103519998</v>
      </c>
      <c r="G48" s="58">
        <f>'Ann 4'!G20</f>
        <v>12299135.8057664</v>
      </c>
      <c r="H48" s="58">
        <f>'Ann 4'!H20</f>
        <v>13010556.791420048</v>
      </c>
      <c r="I48" s="58">
        <f>'Ann 4'!I20</f>
        <v>13710131.32003195</v>
      </c>
      <c r="J48" s="58">
        <f>'Ann 4'!J20</f>
        <v>13567452.864440124</v>
      </c>
      <c r="K48" s="58">
        <f>'Ann 4'!K20</f>
        <v>13414872.68307787</v>
      </c>
    </row>
    <row r="49" spans="1:11" x14ac:dyDescent="0.6">
      <c r="A49" s="60"/>
      <c r="B49" s="61" t="s">
        <v>148</v>
      </c>
      <c r="C49" s="18">
        <f>C48/C47</f>
        <v>7.5752770880460121</v>
      </c>
      <c r="D49" s="18">
        <f t="shared" ref="D49:H49" si="16">D48/D47</f>
        <v>6.7185705463243677</v>
      </c>
      <c r="E49" s="62">
        <f t="shared" si="16"/>
        <v>7.4366901884568781</v>
      </c>
      <c r="F49" s="62">
        <f t="shared" si="16"/>
        <v>8.1938877979224483</v>
      </c>
      <c r="G49" s="62">
        <f t="shared" si="16"/>
        <v>8.9935851081282188</v>
      </c>
      <c r="H49" s="62">
        <f t="shared" si="16"/>
        <v>13.514982729518163</v>
      </c>
      <c r="I49" s="63">
        <v>0</v>
      </c>
      <c r="J49" s="63">
        <v>0</v>
      </c>
      <c r="K49" s="63">
        <v>0</v>
      </c>
    </row>
    <row r="50" spans="1:11" x14ac:dyDescent="0.6">
      <c r="A50" s="27"/>
      <c r="B50" s="22" t="s">
        <v>152</v>
      </c>
      <c r="C50" s="27"/>
      <c r="D50" s="27"/>
      <c r="E50" s="27"/>
      <c r="F50" s="27">
        <f>AVERAGE(C49:G49)</f>
        <v>7.7836021457755864</v>
      </c>
      <c r="G50" s="27"/>
      <c r="H50" s="27"/>
      <c r="I50" s="27"/>
      <c r="J50" s="27"/>
      <c r="K50" s="27"/>
    </row>
    <row r="51" spans="1:11" x14ac:dyDescent="0.6">
      <c r="I51" s="48"/>
      <c r="J51" s="48"/>
      <c r="K51" s="48"/>
    </row>
    <row r="53" spans="1:11" x14ac:dyDescent="0.6">
      <c r="A53" s="6" t="s">
        <v>223</v>
      </c>
    </row>
    <row r="54" spans="1:11" x14ac:dyDescent="0.6">
      <c r="A54" s="6" t="s">
        <v>135</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 t="s">
        <v>226</v>
      </c>
    </row>
    <row r="3" spans="1:3" x14ac:dyDescent="0.35">
      <c r="A3" s="1" t="s">
        <v>229</v>
      </c>
    </row>
    <row r="5" spans="1:3" x14ac:dyDescent="0.35">
      <c r="A5" s="2" t="s">
        <v>227</v>
      </c>
    </row>
    <row r="6" spans="1:3" x14ac:dyDescent="0.35">
      <c r="A6" s="3" t="s">
        <v>235</v>
      </c>
    </row>
    <row r="7" spans="1:3" x14ac:dyDescent="0.35">
      <c r="A7" t="s">
        <v>228</v>
      </c>
      <c r="B7">
        <v>5</v>
      </c>
      <c r="C7" t="s">
        <v>232</v>
      </c>
    </row>
    <row r="8" spans="1:3" x14ac:dyDescent="0.35">
      <c r="A8" t="s">
        <v>230</v>
      </c>
      <c r="B8">
        <v>30</v>
      </c>
      <c r="C8" t="s">
        <v>233</v>
      </c>
    </row>
    <row r="9" spans="1:3" x14ac:dyDescent="0.35">
      <c r="A9" t="s">
        <v>231</v>
      </c>
      <c r="B9">
        <f>B8*3000*20/B7</f>
        <v>360000</v>
      </c>
      <c r="C9" t="s">
        <v>234</v>
      </c>
    </row>
    <row r="11" spans="1:3" x14ac:dyDescent="0.35">
      <c r="A11" s="3" t="s">
        <v>236</v>
      </c>
    </row>
    <row r="12" spans="1:3" x14ac:dyDescent="0.35">
      <c r="A12" s="3" t="s">
        <v>228</v>
      </c>
      <c r="B12">
        <v>0.5</v>
      </c>
      <c r="C12" t="s">
        <v>237</v>
      </c>
    </row>
    <row r="13" spans="1:3" x14ac:dyDescent="0.35">
      <c r="A13" s="3" t="s">
        <v>238</v>
      </c>
      <c r="B13">
        <f>B12*3000*30</f>
        <v>45000</v>
      </c>
      <c r="C13" t="s">
        <v>239</v>
      </c>
    </row>
    <row r="15" spans="1:3" x14ac:dyDescent="0.35">
      <c r="A15" t="s">
        <v>240</v>
      </c>
      <c r="B15">
        <f>B13+B9</f>
        <v>405000</v>
      </c>
    </row>
    <row r="16" spans="1:3" x14ac:dyDescent="0.35">
      <c r="A16" t="s">
        <v>241</v>
      </c>
      <c r="B16">
        <v>75</v>
      </c>
    </row>
    <row r="17" spans="1:2" x14ac:dyDescent="0.35">
      <c r="A17" t="s">
        <v>242</v>
      </c>
      <c r="B17" s="4">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8"/>
  <sheetViews>
    <sheetView tabSelected="1" workbookViewId="0">
      <selection activeCell="E14" sqref="E14"/>
    </sheetView>
  </sheetViews>
  <sheetFormatPr defaultRowHeight="17" x14ac:dyDescent="0.6"/>
  <cols>
    <col min="1" max="1" width="5.6328125" style="6" bestFit="1" customWidth="1"/>
    <col min="2" max="2" width="26.08984375" style="6" bestFit="1" customWidth="1"/>
    <col min="3" max="3" width="8.7265625" style="6"/>
    <col min="4" max="4" width="25" style="6" bestFit="1" customWidth="1"/>
    <col min="5" max="5" width="12.54296875" style="6" bestFit="1" customWidth="1"/>
    <col min="6" max="16384" width="8.7265625" style="6"/>
  </cols>
  <sheetData>
    <row r="1" spans="1:5" x14ac:dyDescent="0.6">
      <c r="A1" s="5" t="s">
        <v>278</v>
      </c>
    </row>
    <row r="3" spans="1:5" x14ac:dyDescent="0.6">
      <c r="A3" s="64" t="s">
        <v>156</v>
      </c>
    </row>
    <row r="5" spans="1:5" s="5" customFormat="1" x14ac:dyDescent="0.6">
      <c r="A5" s="108" t="s">
        <v>52</v>
      </c>
      <c r="B5" s="108" t="s">
        <v>53</v>
      </c>
      <c r="C5" s="108" t="s">
        <v>54</v>
      </c>
      <c r="D5" s="108" t="s">
        <v>55</v>
      </c>
      <c r="E5" s="108" t="s">
        <v>222</v>
      </c>
    </row>
    <row r="6" spans="1:5" x14ac:dyDescent="0.6">
      <c r="A6" s="20" t="s">
        <v>56</v>
      </c>
      <c r="B6" s="20" t="s">
        <v>257</v>
      </c>
      <c r="C6" s="20">
        <v>1</v>
      </c>
      <c r="D6" s="49">
        <v>14000</v>
      </c>
      <c r="E6" s="49">
        <f>D6*C6*12</f>
        <v>168000</v>
      </c>
    </row>
    <row r="7" spans="1:5" x14ac:dyDescent="0.6">
      <c r="A7" s="8" t="s">
        <v>57</v>
      </c>
      <c r="B7" s="8" t="s">
        <v>258</v>
      </c>
      <c r="C7" s="8">
        <v>1</v>
      </c>
      <c r="D7" s="49">
        <v>12000</v>
      </c>
      <c r="E7" s="49">
        <f>D7*C7*12</f>
        <v>144000</v>
      </c>
    </row>
    <row r="8" spans="1:5" x14ac:dyDescent="0.6">
      <c r="A8" s="8" t="s">
        <v>60</v>
      </c>
      <c r="B8" s="8" t="s">
        <v>260</v>
      </c>
      <c r="C8" s="8">
        <v>3</v>
      </c>
      <c r="D8" s="49">
        <v>10000</v>
      </c>
      <c r="E8" s="49">
        <f>D8*C8*12</f>
        <v>360000</v>
      </c>
    </row>
    <row r="9" spans="1:5" x14ac:dyDescent="0.6">
      <c r="A9" s="8" t="s">
        <v>220</v>
      </c>
      <c r="B9" s="8" t="s">
        <v>221</v>
      </c>
      <c r="C9" s="8">
        <v>3</v>
      </c>
      <c r="D9" s="49">
        <v>9000</v>
      </c>
      <c r="E9" s="49">
        <f>D9*C9*12</f>
        <v>324000</v>
      </c>
    </row>
    <row r="10" spans="1:5" x14ac:dyDescent="0.6">
      <c r="A10" s="8" t="s">
        <v>259</v>
      </c>
      <c r="B10" s="8" t="s">
        <v>157</v>
      </c>
      <c r="C10" s="8">
        <v>2</v>
      </c>
      <c r="D10" s="49">
        <v>8400</v>
      </c>
      <c r="E10" s="49">
        <f>D10*C10*12</f>
        <v>201600</v>
      </c>
    </row>
    <row r="11" spans="1:5" x14ac:dyDescent="0.6">
      <c r="A11" s="135" t="s">
        <v>8</v>
      </c>
      <c r="B11" s="135"/>
      <c r="C11" s="135"/>
      <c r="D11" s="135"/>
      <c r="E11" s="65">
        <f>SUM(E6:E10)</f>
        <v>1197600</v>
      </c>
    </row>
    <row r="12" spans="1:5" x14ac:dyDescent="0.6">
      <c r="A12" s="34"/>
      <c r="B12" s="36"/>
      <c r="C12" s="36"/>
      <c r="D12" s="36"/>
      <c r="E12" s="52"/>
    </row>
    <row r="13" spans="1:5" x14ac:dyDescent="0.6">
      <c r="A13" s="60" t="s">
        <v>314</v>
      </c>
      <c r="B13" s="61"/>
      <c r="C13" s="61"/>
      <c r="D13" s="61"/>
      <c r="E13" s="66">
        <f>E11*10%</f>
        <v>119760</v>
      </c>
    </row>
    <row r="14" spans="1:5" x14ac:dyDescent="0.6">
      <c r="A14" s="30" t="s">
        <v>8</v>
      </c>
      <c r="B14" s="31"/>
      <c r="C14" s="31"/>
      <c r="D14" s="31"/>
      <c r="E14" s="67">
        <f>SUM(E11:E13)</f>
        <v>1317360</v>
      </c>
    </row>
    <row r="16" spans="1:5" x14ac:dyDescent="0.6">
      <c r="A16" s="6" t="s">
        <v>58</v>
      </c>
      <c r="E16" s="48">
        <f>E14</f>
        <v>1317360</v>
      </c>
    </row>
    <row r="17" spans="1:5" x14ac:dyDescent="0.6">
      <c r="A17" s="6" t="s">
        <v>59</v>
      </c>
      <c r="E17" s="68">
        <v>7.0000000000000007E-2</v>
      </c>
    </row>
    <row r="18" spans="1:5" x14ac:dyDescent="0.6">
      <c r="A18" s="6" t="s">
        <v>159</v>
      </c>
      <c r="E18" s="6">
        <f>SUM(C6:C10)</f>
        <v>10</v>
      </c>
    </row>
  </sheetData>
  <mergeCells count="1">
    <mergeCell ref="A11:D1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election activeCell="A6" sqref="A6"/>
    </sheetView>
  </sheetViews>
  <sheetFormatPr defaultRowHeight="17" x14ac:dyDescent="0.6"/>
  <cols>
    <col min="1" max="1" width="6.36328125" style="6" bestFit="1" customWidth="1"/>
    <col min="2" max="2" width="18.81640625" style="6" bestFit="1" customWidth="1"/>
    <col min="3" max="3" width="19.453125" style="6" bestFit="1" customWidth="1"/>
    <col min="4" max="4" width="18.08984375" style="6" bestFit="1" customWidth="1"/>
    <col min="5" max="5" width="14.453125" style="6" bestFit="1" customWidth="1"/>
    <col min="6" max="6" width="26.453125" style="6" bestFit="1" customWidth="1"/>
    <col min="7" max="16384" width="8.7265625" style="6"/>
  </cols>
  <sheetData>
    <row r="1" spans="1:6" x14ac:dyDescent="0.6">
      <c r="A1" s="5" t="s">
        <v>62</v>
      </c>
    </row>
    <row r="3" spans="1:6" x14ac:dyDescent="0.6">
      <c r="A3" s="64" t="s">
        <v>61</v>
      </c>
    </row>
    <row r="5" spans="1:6" s="5" customFormat="1" x14ac:dyDescent="0.6">
      <c r="A5" s="108" t="s">
        <v>24</v>
      </c>
      <c r="B5" s="108" t="s">
        <v>3</v>
      </c>
      <c r="C5" s="108" t="s">
        <v>65</v>
      </c>
      <c r="D5" s="108" t="s">
        <v>11</v>
      </c>
      <c r="E5" s="108" t="s">
        <v>66</v>
      </c>
      <c r="F5" s="108" t="s">
        <v>67</v>
      </c>
    </row>
    <row r="6" spans="1:6" x14ac:dyDescent="0.6">
      <c r="A6" s="8" t="s">
        <v>56</v>
      </c>
      <c r="B6" s="8" t="s">
        <v>13</v>
      </c>
      <c r="C6" s="49">
        <f>('Ann 1'!C12*100000)+('Ann 1'!C37*100000)</f>
        <v>250000</v>
      </c>
      <c r="D6" s="49">
        <f>('Ann 1'!C20+'Ann 1'!C37)*100000</f>
        <v>3450000</v>
      </c>
      <c r="E6" s="49">
        <v>0</v>
      </c>
      <c r="F6" s="69">
        <f>SUM(C6:E6)/100000</f>
        <v>37</v>
      </c>
    </row>
    <row r="7" spans="1:6" x14ac:dyDescent="0.6">
      <c r="A7" s="8" t="s">
        <v>57</v>
      </c>
      <c r="B7" s="8" t="s">
        <v>63</v>
      </c>
      <c r="C7" s="49">
        <v>0</v>
      </c>
      <c r="D7" s="49">
        <v>0</v>
      </c>
      <c r="E7" s="49">
        <v>0</v>
      </c>
      <c r="F7" s="70">
        <f>SUM(C7:E7)/100000</f>
        <v>0</v>
      </c>
    </row>
    <row r="8" spans="1:6" x14ac:dyDescent="0.6">
      <c r="A8" s="8" t="s">
        <v>60</v>
      </c>
      <c r="B8" s="8" t="s">
        <v>64</v>
      </c>
      <c r="C8" s="49">
        <v>0</v>
      </c>
      <c r="D8" s="49">
        <v>0</v>
      </c>
      <c r="E8" s="49">
        <v>0</v>
      </c>
      <c r="F8" s="70">
        <f>SUM(C8:E8)/100000</f>
        <v>0</v>
      </c>
    </row>
    <row r="9" spans="1:6" x14ac:dyDescent="0.6">
      <c r="A9" s="8"/>
      <c r="B9" s="135" t="s">
        <v>8</v>
      </c>
      <c r="C9" s="135"/>
      <c r="D9" s="135"/>
      <c r="E9" s="135"/>
      <c r="F9" s="69">
        <f>SUM(F6:F8)</f>
        <v>37</v>
      </c>
    </row>
    <row r="11" spans="1:6" s="5" customFormat="1" x14ac:dyDescent="0.6">
      <c r="A11" s="7"/>
      <c r="B11" s="7" t="s">
        <v>68</v>
      </c>
      <c r="C11" s="76">
        <v>0.1</v>
      </c>
      <c r="D11" s="76">
        <v>0.15</v>
      </c>
      <c r="E11" s="76">
        <v>0.1</v>
      </c>
      <c r="F11" s="7" t="s">
        <v>174</v>
      </c>
    </row>
    <row r="12" spans="1:6" x14ac:dyDescent="0.6">
      <c r="A12" s="72" t="s">
        <v>69</v>
      </c>
      <c r="B12" s="73">
        <v>1</v>
      </c>
      <c r="C12" s="74">
        <f>C11*C6</f>
        <v>25000</v>
      </c>
      <c r="D12" s="74">
        <f>D11*D6</f>
        <v>517500</v>
      </c>
      <c r="E12" s="74">
        <f>E11*E6</f>
        <v>0</v>
      </c>
      <c r="F12" s="74">
        <f>SUM(C12:E12)</f>
        <v>542500</v>
      </c>
    </row>
    <row r="13" spans="1:6" x14ac:dyDescent="0.6">
      <c r="A13" s="72" t="s">
        <v>69</v>
      </c>
      <c r="B13" s="73">
        <v>2</v>
      </c>
      <c r="C13" s="74">
        <f>(C6-C12)*C11</f>
        <v>22500</v>
      </c>
      <c r="D13" s="74">
        <f>(D6-D12)*D11</f>
        <v>439875</v>
      </c>
      <c r="E13" s="74">
        <f>(E6-E12)*E11</f>
        <v>0</v>
      </c>
      <c r="F13" s="74">
        <f>SUM(C13:E13)</f>
        <v>462375</v>
      </c>
    </row>
    <row r="14" spans="1:6" x14ac:dyDescent="0.6">
      <c r="A14" s="72" t="s">
        <v>69</v>
      </c>
      <c r="B14" s="73">
        <v>3</v>
      </c>
      <c r="C14" s="74">
        <f>(C6-C12-C13)*C11</f>
        <v>20250</v>
      </c>
      <c r="D14" s="74">
        <f>(D6-D12-D13)*D11</f>
        <v>373893.75</v>
      </c>
      <c r="E14" s="74">
        <f>(E6-E12-E13)*E11</f>
        <v>0</v>
      </c>
      <c r="F14" s="74">
        <f t="shared" ref="F14:F20" si="0">SUM(C14:E14)</f>
        <v>394143.75</v>
      </c>
    </row>
    <row r="15" spans="1:6" x14ac:dyDescent="0.6">
      <c r="A15" s="72" t="s">
        <v>69</v>
      </c>
      <c r="B15" s="73">
        <v>4</v>
      </c>
      <c r="C15" s="74">
        <f>(C6-C12-C13-C14)*C11</f>
        <v>18225</v>
      </c>
      <c r="D15" s="74">
        <f>(D6-D12-D13-D14)*D11</f>
        <v>317809.6875</v>
      </c>
      <c r="E15" s="74">
        <f>(E6-E12-E13-E14)*E11</f>
        <v>0</v>
      </c>
      <c r="F15" s="74">
        <f t="shared" si="0"/>
        <v>336034.6875</v>
      </c>
    </row>
    <row r="16" spans="1:6" x14ac:dyDescent="0.6">
      <c r="A16" s="72" t="s">
        <v>69</v>
      </c>
      <c r="B16" s="73">
        <v>5</v>
      </c>
      <c r="C16" s="74">
        <f>(C6-C12-C13-C14-C15)*C11</f>
        <v>16402.5</v>
      </c>
      <c r="D16" s="74">
        <f>(D6-D12-D13-D14-D15)*D11</f>
        <v>270138.234375</v>
      </c>
      <c r="E16" s="74">
        <f>(E6-E12-E13-E14-E15)*E11</f>
        <v>0</v>
      </c>
      <c r="F16" s="74">
        <f t="shared" si="0"/>
        <v>286540.734375</v>
      </c>
    </row>
    <row r="17" spans="1:6" x14ac:dyDescent="0.6">
      <c r="A17" s="72" t="s">
        <v>69</v>
      </c>
      <c r="B17" s="73">
        <v>6</v>
      </c>
      <c r="C17" s="74">
        <f>(C6-C12-C13-C14-C15-C16)*C11</f>
        <v>14762.25</v>
      </c>
      <c r="D17" s="74">
        <f>(D6-D12-D13-D14-D15-D16)*D11</f>
        <v>229617.49921874999</v>
      </c>
      <c r="E17" s="74">
        <f>(E6-E12-E13-E14-E15-E16)*E11</f>
        <v>0</v>
      </c>
      <c r="F17" s="74">
        <f t="shared" si="0"/>
        <v>244379.74921874999</v>
      </c>
    </row>
    <row r="18" spans="1:6" x14ac:dyDescent="0.6">
      <c r="A18" s="72" t="s">
        <v>69</v>
      </c>
      <c r="B18" s="73">
        <v>7</v>
      </c>
      <c r="C18" s="74">
        <f>(C6-C12-C13-C14-C15-C16-C17)*C11</f>
        <v>13286.025000000001</v>
      </c>
      <c r="D18" s="74">
        <f>(D6-D12-D13-D14-D15-D16-D17)*D11</f>
        <v>195174.87433593749</v>
      </c>
      <c r="E18" s="74">
        <f>(E6-E12-E13-E14-E15-E16-E17)*E11</f>
        <v>0</v>
      </c>
      <c r="F18" s="74">
        <f t="shared" si="0"/>
        <v>208460.89933593749</v>
      </c>
    </row>
    <row r="19" spans="1:6" x14ac:dyDescent="0.6">
      <c r="A19" s="72" t="s">
        <v>69</v>
      </c>
      <c r="B19" s="73">
        <v>8</v>
      </c>
      <c r="C19" s="74">
        <f>(C6-C12-C13-C14-C15-C16-C17-C18)*C11</f>
        <v>11957.422500000001</v>
      </c>
      <c r="D19" s="74">
        <f>(D6-D12-D13-D14-D15-D16-D17-D18)*D11</f>
        <v>165898.64318554688</v>
      </c>
      <c r="E19" s="74">
        <f>(E6-E12-E13-E14-E15-E16-E17-E18)*E11</f>
        <v>0</v>
      </c>
      <c r="F19" s="74">
        <f t="shared" si="0"/>
        <v>177856.0656855469</v>
      </c>
    </row>
    <row r="20" spans="1:6" x14ac:dyDescent="0.6">
      <c r="A20" s="72" t="s">
        <v>69</v>
      </c>
      <c r="B20" s="73">
        <v>9</v>
      </c>
      <c r="C20" s="74">
        <f>(C6-C12-C13-C14-C15-C16-C17-C18-C19)*C11</f>
        <v>10761.680250000001</v>
      </c>
      <c r="D20" s="74">
        <f>(D6-D12-D13-D14-D15-D16-D17-D18-D19)*D11</f>
        <v>141013.84670771484</v>
      </c>
      <c r="E20" s="74">
        <f>(E6-E12-E13-E14-E15-E16-E17-E18-E19)*E11</f>
        <v>0</v>
      </c>
      <c r="F20" s="74">
        <f t="shared" si="0"/>
        <v>151775.52695771484</v>
      </c>
    </row>
    <row r="21" spans="1:6" x14ac:dyDescent="0.6">
      <c r="B21" s="19"/>
    </row>
    <row r="22" spans="1:6" x14ac:dyDescent="0.6">
      <c r="A22" s="75"/>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Budgets</vt:lpstr>
      <vt:lpstr>Cash flows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2021-11-11T07:19:26Z</cp:lastPrinted>
  <dcterms:created xsi:type="dcterms:W3CDTF">2021-07-04T07:21:16Z</dcterms:created>
  <dcterms:modified xsi:type="dcterms:W3CDTF">2021-11-11T07:26:26Z</dcterms:modified>
</cp:coreProperties>
</file>